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360" windowHeight="9030" tabRatio="951" firstSheet="5" activeTab="5"/>
  </bookViews>
  <sheets>
    <sheet name="WinShuttle Create" sheetId="1" r:id="rId1"/>
    <sheet name="WinShuttle Change" sheetId="2" r:id="rId2"/>
    <sheet name="xref2" sheetId="3" r:id="rId3"/>
    <sheet name="xref" sheetId="4" r:id="rId4"/>
    <sheet name="Info" sheetId="5" r:id="rId5"/>
    <sheet name="9707 Compressor Pkg" sheetId="6" r:id="rId6"/>
    <sheet name="1601 Comp Cent (Comp Pkg)" sheetId="7" r:id="rId7"/>
    <sheet name="1602 Comp Recip (Comp Pkg)" sheetId="8" r:id="rId8"/>
    <sheet name="1603 Comp Rotary (Comp Pkg)" sheetId="9" r:id="rId9"/>
    <sheet name="8401 Turbine Gas (Comp Pkg)" sheetId="10" r:id="rId10"/>
    <sheet name="3003 Motor AC (Comp Pkg)" sheetId="11" r:id="rId11"/>
    <sheet name="3202 Engine (Comp Pkg)" sheetId="12" r:id="rId12"/>
    <sheet name="9517 Vessel Coal (Comp Pkg)" sheetId="13" r:id="rId13"/>
    <sheet name="9527 Vessel Filter (Comp Pkg)" sheetId="14" r:id="rId14"/>
    <sheet name="9526 Separator (Comp Pkg)" sheetId="15" r:id="rId15"/>
    <sheet name="4117 Cooler (Comp Pkg)" sheetId="16" r:id="rId16"/>
    <sheet name="2814 Panel Control (Comp Pkg)" sheetId="17" r:id="rId17"/>
    <sheet name="1004 Building (Comp Pkg)" sheetId="18" r:id="rId18"/>
    <sheet name="1902 Crane (Comp Pkg)" sheetId="19" r:id="rId19"/>
    <sheet name="1908 Hoist (Comp Pkg)" sheetId="20" r:id="rId20"/>
    <sheet name="1910 Trolley (Comp Pkg)" sheetId="21" r:id="rId21"/>
    <sheet name="4120 Exch Air Cooled (Comp Pkg)" sheetId="22" r:id="rId22"/>
    <sheet name="4102 Exch Plate (Comp Pkg)" sheetId="23" r:id="rId23"/>
    <sheet name="6803 Cylinder Comp (Comp Pkg)" sheetId="24" r:id="rId24"/>
    <sheet name="9504 Scrubber (Comp Pkg)" sheetId="25" r:id="rId25"/>
    <sheet name="9530 Comp Bottle (Comp Pkg)" sheetId="26" r:id="rId26"/>
    <sheet name="1210 Blow Case (Comp Pkg)" sheetId="27" r:id="rId27"/>
    <sheet name="4015 Acct Meter (Comp Pkg)" sheetId="28" r:id="rId28"/>
    <sheet name="4006 FM Turbine (Comp Pkg)" sheetId="29" r:id="rId29"/>
    <sheet name="4007 FM Ultrasonic (Comp Pkg)" sheetId="30" r:id="rId30"/>
    <sheet name="4008 FM Venturi (Comp Pkg)" sheetId="31" r:id="rId31"/>
    <sheet name="4009 FM PD (Comp Pkg)" sheetId="32" r:id="rId32"/>
    <sheet name="4017 MR Senior (Comp Pkg)" sheetId="33" r:id="rId33"/>
    <sheet name="4018 FM Junior (Comp Pkg)" sheetId="34" r:id="rId34"/>
    <sheet name="4305 Transmitter(MVT)(Comp Pkg)" sheetId="35" r:id="rId35"/>
    <sheet name="4316 Recorder Dryflow(CompPkg) " sheetId="36" r:id="rId36"/>
    <sheet name="4016 Ref Mtr Pkg (Comp Pkg)" sheetId="37" r:id="rId37"/>
    <sheet name="3003 Motor AC (Comp Pkg Cooler)" sheetId="38" r:id="rId38"/>
    <sheet name="3101 Generator (Comp Pkg)" sheetId="39" r:id="rId39"/>
    <sheet name="4304 Analyzer LEL (Comp Pkg)" sheetId="40" r:id="rId40"/>
    <sheet name="4304 Analyzer H2S (Comp Pkg)" sheetId="41" r:id="rId41"/>
    <sheet name="4304 Analyzer FIRE (Comp Pkg)" sheetId="42" r:id="rId42"/>
    <sheet name="4304 Analyzer O2 (Comp Pkg)" sheetId="43" r:id="rId43"/>
    <sheet name="4304 Analyzer CO2 (Comp Pkg)" sheetId="44" r:id="rId44"/>
    <sheet name="8402 Turbine Steam (Comp Pkg)" sheetId="45" r:id="rId45"/>
    <sheet name="2903 Heat Elec (Comp Pkg)" sheetId="46" r:id="rId46"/>
    <sheet name="9104 Valve Motor Op (Comp Pkg)" sheetId="47" r:id="rId47"/>
    <sheet name="6304 Gearbox (Comp Pkg)" sheetId="48" r:id="rId48"/>
    <sheet name="2832 VarSpDr (Comp Pkg)" sheetId="49" r:id="rId49"/>
    <sheet name="2841 UPS (Comp Pkg)" sheetId="50" r:id="rId50"/>
    <sheet name="1004" sheetId="51" r:id="rId51"/>
    <sheet name="1210" sheetId="52" r:id="rId52"/>
    <sheet name="1601" sheetId="53" r:id="rId53"/>
    <sheet name="1602" sheetId="54" r:id="rId54"/>
    <sheet name="1603" sheetId="55" r:id="rId55"/>
    <sheet name="2814" sheetId="56" r:id="rId56"/>
    <sheet name="3003" sheetId="57" r:id="rId57"/>
    <sheet name="3003_COOLER" sheetId="58" r:id="rId58"/>
    <sheet name="3101" sheetId="59" r:id="rId59"/>
    <sheet name="3202" sheetId="60" r:id="rId60"/>
    <sheet name="4006" sheetId="61" r:id="rId61"/>
    <sheet name="4007" sheetId="62" r:id="rId62"/>
    <sheet name="4008" sheetId="63" r:id="rId63"/>
    <sheet name="4009" sheetId="64" r:id="rId64"/>
    <sheet name="4015" sheetId="65" r:id="rId65"/>
    <sheet name="4017" sheetId="66" r:id="rId66"/>
    <sheet name="4018" sheetId="67" r:id="rId67"/>
    <sheet name="4117" sheetId="68" r:id="rId68"/>
    <sheet name="4102" sheetId="69" r:id="rId69"/>
    <sheet name="4120" sheetId="70" r:id="rId70"/>
    <sheet name="4304" sheetId="71" r:id="rId71"/>
    <sheet name="4305" sheetId="72" r:id="rId72"/>
    <sheet name="4316" sheetId="73" r:id="rId73"/>
    <sheet name="6803" sheetId="74" r:id="rId74"/>
    <sheet name="8401" sheetId="75" r:id="rId75"/>
    <sheet name="9504" sheetId="76" r:id="rId76"/>
    <sheet name="9517" sheetId="77" r:id="rId77"/>
    <sheet name="9526" sheetId="78" r:id="rId78"/>
    <sheet name="9527" sheetId="79" r:id="rId79"/>
    <sheet name="9530" sheetId="80" r:id="rId80"/>
    <sheet name="9707" sheetId="81" r:id="rId81"/>
    <sheet name="8402" sheetId="82" r:id="rId82"/>
    <sheet name="4016" sheetId="83" r:id="rId83"/>
    <sheet name="2832" sheetId="84" r:id="rId84"/>
    <sheet name="1902" sheetId="85" r:id="rId85"/>
    <sheet name="1908" sheetId="86" r:id="rId86"/>
    <sheet name="1910" sheetId="87" r:id="rId87"/>
    <sheet name="2841" sheetId="88" r:id="rId88"/>
    <sheet name="2903" sheetId="89" r:id="rId89"/>
    <sheet name="9104" sheetId="90" r:id="rId90"/>
    <sheet name="6304" sheetId="91" r:id="rId91"/>
  </sheets>
  <definedNames>
    <definedName name="ANODES">'xref'!$BI$2:$BI$3</definedName>
    <definedName name="ANY_RTDS_CONNECTED">'xref'!$BB$2:$BB$3</definedName>
    <definedName name="Area_Level_3">'xref'!$C$2:$C$220</definedName>
    <definedName name="BERM_LINED">'xref'!$I$2:$I$3</definedName>
    <definedName name="BLADE_PITCH_ADJUSTABLE">'xref'!$J$2:$J$3</definedName>
    <definedName name="BLANKET_GAS">'xref'!$K$2:$K$3</definedName>
    <definedName name="CA_1004">'1004 Building (Comp Pkg)'!$A:$XFD</definedName>
    <definedName name="CA_1210">'1210 Blow Case (Comp Pkg)'!$A:$XFD</definedName>
    <definedName name="ca_1601">'1601 Comp Cent (Comp Pkg)'!$A:$XFD</definedName>
    <definedName name="CA_1602">'1602 Comp Recip (Comp Pkg)'!$A:$XFD</definedName>
    <definedName name="CA_1603">'1603 Comp Rotary (Comp Pkg)'!$A:$XFD</definedName>
    <definedName name="ca_1902">'1902 Crane (Comp Pkg)'!$A:$XFD</definedName>
    <definedName name="ca_1908">'1908 Hoist (Comp Pkg)'!$A:$XFD</definedName>
    <definedName name="ca_1910">'1910 Trolley (Comp Pkg)'!$A:$XFD</definedName>
    <definedName name="CA_2814">'2814 Panel Control (Comp Pkg)'!$A:$XFD</definedName>
    <definedName name="ca_2832">'2832 VarSpDr (Comp Pkg)'!$A:$XFD</definedName>
    <definedName name="ca_2841">'2841 UPS (Comp Pkg)'!$A:$XFD</definedName>
    <definedName name="ca_2903">'2903 Heat Elec (Comp Pkg)'!$A:$XFD</definedName>
    <definedName name="CA_3003">'3003 Motor AC (Comp Pkg)'!$A:$XFD</definedName>
    <definedName name="CA_3003_COOLER">'3003 Motor AC (Comp Pkg Cooler)'!$A:$XFD</definedName>
    <definedName name="CA_3101">'3101 Generator (Comp Pkg)'!$A:$XFD</definedName>
    <definedName name="CA_3202">'3202 Engine (Comp Pkg)'!$A:$XFD</definedName>
    <definedName name="CA_4006">'4006 FM Turbine (Comp Pkg)'!$A:$XFD</definedName>
    <definedName name="CA_4007">'4007 FM Ultrasonic (Comp Pkg)'!$A:$XFD</definedName>
    <definedName name="CA_4008">'4008 FM Venturi (Comp Pkg)'!$A:$XFD</definedName>
    <definedName name="CA_4009">'4009 FM PD (Comp Pkg)'!$A:$XFD</definedName>
    <definedName name="CA_4015">'4015 Acct Meter (Comp Pkg)'!$A:$XFD</definedName>
    <definedName name="ca_4016">'4016 Ref Mtr Pkg (Comp Pkg)'!$A:$XFD</definedName>
    <definedName name="CA_4017">'4017 MR Senior (Comp Pkg)'!$A:$XFD</definedName>
    <definedName name="CA_4018">'4018 FM Junior (Comp Pkg)'!$A:$XFD</definedName>
    <definedName name="ca_4102">'4102 Exch Plate (Comp Pkg)'!$A:$XFD</definedName>
    <definedName name="CA_4117">'4117 Cooler (Comp Pkg)'!$A:$XFD</definedName>
    <definedName name="CA_4120">'4120 Exch Air Cooled (Comp Pkg)'!$A:$XFD</definedName>
    <definedName name="CA_4120_PLATE">'4102 Exch Plate (Comp Pkg)'!$A:$XFD</definedName>
    <definedName name="CA_4304_CO2">'4304 Analyzer CO2 (Comp Pkg)'!$A:$XFD</definedName>
    <definedName name="CA_4304_FIRE">'4304 Analyzer FIRE (Comp Pkg)'!$A:$XFD</definedName>
    <definedName name="CA_4304_H2S" localSheetId="41">'4304 Analyzer FIRE (Comp Pkg)'!$D$4</definedName>
    <definedName name="CA_4304_H2S">'4304 Analyzer H2S (Comp Pkg)'!$A:$XFD</definedName>
    <definedName name="CA_4304_LEL" localSheetId="41">'4304 Analyzer LEL (Comp Pkg)'!$A:$XFD</definedName>
    <definedName name="CA_4304_LEL" localSheetId="42">'4304 Analyzer LEL (Comp Pkg)'!$A:$XFD</definedName>
    <definedName name="CA_4304_LEL">'4304 Analyzer LEL (Comp Pkg)'!$A:$XFD</definedName>
    <definedName name="CA_4304_O2">'4304 Analyzer O2 (Comp Pkg)'!$A:$XFD</definedName>
    <definedName name="CA_4305">'4305 Transmitter(MVT)(Comp Pkg)'!$A:$XFD</definedName>
    <definedName name="CA_4316">'4316 Recorder Dryflow(CompPkg) '!$A:$XFD</definedName>
    <definedName name="ca_6304">'6304 Gearbox (Comp Pkg)'!$A:$XFD</definedName>
    <definedName name="CA_6803">'6803 Cylinder Comp (Comp Pkg)'!$A:$XFD</definedName>
    <definedName name="CA_8401">'8401 Turbine Gas (Comp Pkg)'!$A:$XFD</definedName>
    <definedName name="ca_8402">'8402 Turbine Steam (Comp Pkg)'!$A:$XFD</definedName>
    <definedName name="ca_9104">'9104 Valve Motor Op (Comp Pkg)'!$A:$XFD</definedName>
    <definedName name="CA_9504">'9504 Scrubber (Comp Pkg)'!$A:$XFD</definedName>
    <definedName name="CA_9517">'9517 Vessel Coal (Comp Pkg)'!$A:$XFD</definedName>
    <definedName name="CA_9526">'9526 Separator (Comp Pkg)'!$A:$XFD</definedName>
    <definedName name="CA_9527">'9527 Vessel Filter (Comp Pkg)'!$A:$XFD</definedName>
    <definedName name="CA_9530">'9530 Comp Bottle (Comp Pkg)'!$A:$XFD</definedName>
    <definedName name="ca_9707">'9707 Compressor Pkg'!$A:$XFD</definedName>
    <definedName name="CAPACITY_UOM">'xref'!$L$2:$L$7</definedName>
    <definedName name="Controllable_Asset_Indicator">'xref'!$G$2:$G$3</definedName>
    <definedName name="CYLINDER_LINER">'xref'!$M$2:$M$3</definedName>
    <definedName name="DEMISTER_PAD">'xref'!$N$2:$N$4</definedName>
    <definedName name="DESIGN_PRESSURE_UOM">'xref'!$O$2:$O$4</definedName>
    <definedName name="DIAMETER_TYPE">'xref'!$P$2:$P$3</definedName>
    <definedName name="Distance_Piece_Cmprtmnts">'xref'!$AQ$2:$AQ$3</definedName>
    <definedName name="EMERGENCY_RELIEF_VALVE">'xref'!$Q$2:$Q$3</definedName>
    <definedName name="Equipment_Type">'xref'!$A$2:$A$168</definedName>
    <definedName name="FIRE_TUBE">'xref'!$R$2:$R$3</definedName>
    <definedName name="FLANGE_RATING_UOM">'xref'!$S$2</definedName>
    <definedName name="FLASH_ARRESOR">'xref'!$T$2:$T$4</definedName>
    <definedName name="Fresh_Air_Intake">'xref'!$BC$2:$BC$3</definedName>
    <definedName name="Governor_Type">'xref'!$BG$2:$BG$5</definedName>
    <definedName name="HEAT_COIL">'xref'!$U$2:$U$3</definedName>
    <definedName name="HVAC">'xref'!$BK$2:$BK$3</definedName>
    <definedName name="INSPECTION_INTERVAL">'xref'!$V$2:$V$3</definedName>
    <definedName name="INSULATION">'xref'!$W$2:$W$3</definedName>
    <definedName name="INTEGRAL_SKID">'xref'!$X$2:$X$3</definedName>
    <definedName name="INTERNAL_ACCESS">'xref'!$Y$2:$Y$3</definedName>
    <definedName name="Internal_Volume_Ratio">'xref'!$AU$2:$AU$3</definedName>
    <definedName name="Inverter_Duty_Rated">'xref'!$BD$2:$BD$3</definedName>
    <definedName name="LOUVERS_AUTO">'xref'!$Z$2:$Z$3</definedName>
    <definedName name="LUBE_PUMP">'xref'!$AV$2:$AV$3</definedName>
    <definedName name="Maintenance_Plant">'xref'!$B$2:$B$31</definedName>
    <definedName name="MANWAY">'xref'!$AA$2:$AA$3</definedName>
    <definedName name="MONTHLY_VE_REQ">'xref'!$AB$2:$AB$3</definedName>
    <definedName name="MOTOR_SPACE_HEATER_RATED_VOLTS">'xref'!$AY$2:$AY$11</definedName>
    <definedName name="MOTOR_VOLTAGE_RATING">'xref'!$AZ$2:$AZ$11</definedName>
    <definedName name="PANEL_PNEUMATIC_ELECTRONIC">'xref'!$AX$2:$AX$3</definedName>
    <definedName name="PORTABLE_PERMANENT">'xref'!$AC$2:$AC$3</definedName>
    <definedName name="POWER_SOURCE">'xref'!$AW$2:$AW$3</definedName>
    <definedName name="Power_Source_2">'xref'!$AD$2:$AD$3</definedName>
    <definedName name="PRESSURE_RELIEF_DEVICE">'xref'!$AE$2:$AE$3</definedName>
    <definedName name="Process">'xref'!$E$2:$E$61</definedName>
    <definedName name="PROTECTION_HLSD">'xref'!$AF$2:$AF$3</definedName>
    <definedName name="Purged_packings">'xref'!$AR$2:$AR$3</definedName>
    <definedName name="SECONDARY_CONTAINMENT_OR_BERM">'xref'!$AG$2:$AG$3</definedName>
    <definedName name="SERVICE_FACTOR">'xref'!$BA$2:$BA$4</definedName>
    <definedName name="SERVICE_MEDIUM_1">'xref'!$AH$2:$AH$5</definedName>
    <definedName name="SERVICE_MEDIUM_2">'xref'!$AI$2:$AI$5</definedName>
    <definedName name="Service_Medium_3">'xref'!$AS$2:$AS$4</definedName>
    <definedName name="SINGLE_OR_DOUBLE_WALL">'xref'!$AJ$2:$AJ$3</definedName>
    <definedName name="SKID_MOUNT">'xref'!$AK$2:$AK$3</definedName>
    <definedName name="SPACE_HEATER">'xref'!$BE$2:$BE$3</definedName>
    <definedName name="SPRINKLER_SYSTEM">'xref'!$BJ$2:$BJ$3</definedName>
    <definedName name="STATUS">'xref'!$F$2:$F$5</definedName>
    <definedName name="Stress_Relieved">'xref'!$BH$2:$BH$4</definedName>
    <definedName name="SUBJECT_TO_INTEGRITY_TEST">'xref'!$AL$2:$AL$3</definedName>
    <definedName name="SURGE_CAPACITOR">'xref'!$BF$2:$BF$3</definedName>
    <definedName name="TANK_BOTTOM_VISIBLE">'xref'!$AP$2:$AP$3</definedName>
    <definedName name="THIEF_HATCH">'xref'!$AM$2:$AM$3</definedName>
    <definedName name="Type_of_Facility">'xref'!$D$2:$D$30</definedName>
    <definedName name="VACUUM_RELIEF_VALVE">'xref'!$AN$2:$AN$3</definedName>
    <definedName name="Visible">'xref'!$H$2:$H$3</definedName>
    <definedName name="WALL_THINKNESS_UOM">'xref'!$AO$2:$AO$3</definedName>
    <definedName name="Watercooled_packings">'xref'!$AT$2:$AT$3</definedName>
    <definedName name="XREF2">'xref2'!$A:$XFD</definedName>
    <definedName name="YES_NO">'xref'!$BL$2:$BL$3</definedName>
  </definedNames>
  <calcPr fullCalcOnLoad="1"/>
</workbook>
</file>

<file path=xl/comments1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1.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2.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3.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4.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5.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1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1.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2.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3.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4.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5.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2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1.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2.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3.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4.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5.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3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1.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2.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3.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4.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5.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4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50.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6.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7.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8.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comments9.xml><?xml version="1.0" encoding="utf-8"?>
<comments xmlns="http://schemas.openxmlformats.org/spreadsheetml/2006/main">
  <authors>
    <author>doerkls</author>
  </authors>
  <commentList>
    <comment ref="A8" authorId="0">
      <text>
        <r>
          <rPr>
            <b/>
            <sz val="8"/>
            <rFont val="Tahoma"/>
            <family val="0"/>
          </rPr>
          <t>doerkls:</t>
        </r>
        <r>
          <rPr>
            <sz val="8"/>
            <rFont val="Tahoma"/>
            <family val="0"/>
          </rPr>
          <t xml:space="preserve">
format
100/01-01-001-01W4/00
200/A-015-D-094-H10/00</t>
        </r>
      </text>
    </comment>
    <comment ref="A9" authorId="0">
      <text>
        <r>
          <rPr>
            <b/>
            <sz val="8"/>
            <rFont val="Tahoma"/>
            <family val="0"/>
          </rPr>
          <t>doerkls:</t>
        </r>
        <r>
          <rPr>
            <sz val="8"/>
            <rFont val="Tahoma"/>
            <family val="0"/>
          </rPr>
          <t xml:space="preserve">
format
100/01-01-001-01W4/00
200/A-015-D-094-H10/00</t>
        </r>
      </text>
    </comment>
  </commentList>
</comments>
</file>

<file path=xl/sharedStrings.xml><?xml version="1.0" encoding="utf-8"?>
<sst xmlns="http://schemas.openxmlformats.org/spreadsheetml/2006/main" count="8123" uniqueCount="1380">
  <si>
    <t>Explanation</t>
  </si>
  <si>
    <t>Input Values</t>
  </si>
  <si>
    <t>Unit of Measure/Format</t>
  </si>
  <si>
    <t>SAP Equipment # (if known)</t>
  </si>
  <si>
    <t>Equipment Type</t>
  </si>
  <si>
    <t>9707_Compressor Pkg</t>
  </si>
  <si>
    <t>Equipment Description</t>
  </si>
  <si>
    <t>Maintenance Plant</t>
  </si>
  <si>
    <t>Plant/Battery/Well</t>
  </si>
  <si>
    <t>Bottom Hole Location</t>
  </si>
  <si>
    <t>Surface Location</t>
  </si>
  <si>
    <t>Process</t>
  </si>
  <si>
    <t>Cost Centre</t>
  </si>
  <si>
    <t>SAP Superior Equipment # (if known)</t>
  </si>
  <si>
    <t>Manufacturer</t>
  </si>
  <si>
    <t>Model</t>
  </si>
  <si>
    <t>A#</t>
  </si>
  <si>
    <t>Serial Number</t>
  </si>
  <si>
    <t>Type of Facility</t>
  </si>
  <si>
    <t>Controllable Asset Indicator</t>
  </si>
  <si>
    <t>PORTABLE/PERMANENT</t>
  </si>
  <si>
    <t>Power Source</t>
  </si>
  <si>
    <t>SKID MOUNT (Y/N)</t>
  </si>
  <si>
    <t>AUTO BYPASS CONTROL</t>
  </si>
  <si>
    <t>AUTO SPEED CONTROL</t>
  </si>
  <si>
    <t>ENVIRONMENT SKID PAN</t>
  </si>
  <si>
    <t>SUCTION PRESSURE CONTROL</t>
  </si>
  <si>
    <t>unknown</t>
  </si>
  <si>
    <t>Controllable Asset</t>
  </si>
  <si>
    <t>PORTABLE</t>
  </si>
  <si>
    <t>INTERNAL</t>
  </si>
  <si>
    <t>YES</t>
  </si>
  <si>
    <t>0101_Hvac Unit</t>
  </si>
  <si>
    <t>CAB_Elmworth/
Goodfare</t>
  </si>
  <si>
    <t>BON_Boneyard</t>
  </si>
  <si>
    <t xml:space="preserve">ABS1_Absorption </t>
  </si>
  <si>
    <t>Noncontrollable Asset</t>
  </si>
  <si>
    <t>PERMANENT</t>
  </si>
  <si>
    <t>EXTERNAL</t>
  </si>
  <si>
    <t>NO</t>
  </si>
  <si>
    <t>0502_Blower</t>
  </si>
  <si>
    <t>CAZ_Noel/
Brassey</t>
  </si>
  <si>
    <t>BTY_Battery (Oil)</t>
  </si>
  <si>
    <t>AMN1_Amine</t>
  </si>
  <si>
    <t>0503_Fan</t>
  </si>
  <si>
    <t>CAA_Wembley</t>
  </si>
  <si>
    <t xml:space="preserve">CMP_Compressor Station </t>
  </si>
  <si>
    <t>ASE1_Area Safety Equipment</t>
  </si>
  <si>
    <t>0602_Flarestack</t>
  </si>
  <si>
    <t>CBA_Wapiti</t>
  </si>
  <si>
    <t>COG_Cogeneration</t>
  </si>
  <si>
    <t>NAO1_Caustic</t>
  </si>
  <si>
    <t>0603_Vent Stack</t>
  </si>
  <si>
    <t>CAW_Ring Border</t>
  </si>
  <si>
    <t>DEH_Dehydration Facility</t>
  </si>
  <si>
    <t>CMN1_Communication</t>
  </si>
  <si>
    <t>0651_Helicopter Pad</t>
  </si>
  <si>
    <t>CAY_Hamburg</t>
  </si>
  <si>
    <t>DST_Distribution</t>
  </si>
  <si>
    <t>CMP1_Compression</t>
  </si>
  <si>
    <t>0701_Boiler</t>
  </si>
  <si>
    <t>CBD_Foothills North</t>
  </si>
  <si>
    <t>GEN_General</t>
  </si>
  <si>
    <t>CTR1_Control</t>
  </si>
  <si>
    <t>0802_Ground</t>
  </si>
  <si>
    <t>CAD_Peco</t>
  </si>
  <si>
    <t>Gxx_Wells, Shallow Gas Group</t>
  </si>
  <si>
    <t>DEB1_Debutanization</t>
  </si>
  <si>
    <t>0805_Pond &amp; Lagoon</t>
  </si>
  <si>
    <t>CAE_Niton</t>
  </si>
  <si>
    <t>HDR_Field Header</t>
  </si>
  <si>
    <t>DEE1_Deethanization</t>
  </si>
  <si>
    <t>0806_Road</t>
  </si>
  <si>
    <t>CAX_Wolf</t>
  </si>
  <si>
    <t>INJ_Injection Facility</t>
  </si>
  <si>
    <t>DEX1_Dehexanization</t>
  </si>
  <si>
    <t>0811_Substation</t>
  </si>
  <si>
    <t>CBI_Whitecourt</t>
  </si>
  <si>
    <t>PIP_Pipeline</t>
  </si>
  <si>
    <t>DEH1_Dehydration</t>
  </si>
  <si>
    <t>0901_Wellbore</t>
  </si>
  <si>
    <t>CAV_Foothills South</t>
  </si>
  <si>
    <t>PLT_Plant</t>
  </si>
  <si>
    <t>DEM1_Demethanization</t>
  </si>
  <si>
    <t>0902_Stuffing Box</t>
  </si>
  <si>
    <t>CBB_East Kaybob</t>
  </si>
  <si>
    <t>SAT_Satellite</t>
  </si>
  <si>
    <t>DEP1_Depropanization</t>
  </si>
  <si>
    <t>Skid ID#</t>
  </si>
  <si>
    <t>0903_Wellhead</t>
  </si>
  <si>
    <t>CBC_West Kaybob</t>
  </si>
  <si>
    <t>SWB_Single Well Battery</t>
  </si>
  <si>
    <t>EMT1_Emulsion Treating</t>
  </si>
  <si>
    <t>Tech ID/P&amp;ID</t>
  </si>
  <si>
    <t>0904_Pumpjack</t>
  </si>
  <si>
    <t>CAC_West O'Chiese/
Rocky</t>
  </si>
  <si>
    <t>WCB_Wells, Coalbed Methane</t>
  </si>
  <si>
    <t xml:space="preserve">FLA1_Flare </t>
  </si>
  <si>
    <t>0905_Gas Lift</t>
  </si>
  <si>
    <t>CBE_East O'Chiese/
Drayton</t>
  </si>
  <si>
    <t xml:space="preserve">WGA_Wells, Gas </t>
  </si>
  <si>
    <t>GEN1_General</t>
  </si>
  <si>
    <t>0906_Hyd Unit</t>
  </si>
  <si>
    <t>CAJ_Rimbey North</t>
  </si>
  <si>
    <t>WNO_Wells, Non Op</t>
  </si>
  <si>
    <t>GRD1_Grounds</t>
  </si>
  <si>
    <t>0907_Plunger Lift</t>
  </si>
  <si>
    <t>CAK_Rimbey South</t>
  </si>
  <si>
    <t xml:space="preserve">WOI_Wells, Oil </t>
  </si>
  <si>
    <t>GSP1_Group Separation</t>
  </si>
  <si>
    <t>0908_PC Drive</t>
  </si>
  <si>
    <t>CBF_Rimbey West</t>
  </si>
  <si>
    <t>WOP_Wells, Not Ours but Operated by CPC</t>
  </si>
  <si>
    <t>HDR1_Header</t>
  </si>
  <si>
    <t>NUMBER OF STAGES</t>
  </si>
  <si>
    <t>0909_Submersible Pump</t>
  </si>
  <si>
    <t>CAF_Three Hills</t>
  </si>
  <si>
    <t>WPD_Wells, Pad</t>
  </si>
  <si>
    <t>HTM1_Heat Medium</t>
  </si>
  <si>
    <t>OWNER</t>
  </si>
  <si>
    <t>1004_Building</t>
  </si>
  <si>
    <t>CAG_Ghostpine</t>
  </si>
  <si>
    <t>WRW_Wells, Raw Water</t>
  </si>
  <si>
    <t>IAC1_Injection, Acid Gas</t>
  </si>
  <si>
    <t>1102_Docks</t>
  </si>
  <si>
    <t>CBG_Viking</t>
  </si>
  <si>
    <t>WSG_Wells, Shallow Gas Group</t>
  </si>
  <si>
    <t>IGA1_Injection, Gas</t>
  </si>
  <si>
    <t>Packager</t>
  </si>
  <si>
    <t>1210_Blow Case</t>
  </si>
  <si>
    <t>CBJ_Camrose</t>
  </si>
  <si>
    <t>WST_Wells, Steam</t>
  </si>
  <si>
    <t>ISP1_Inlet Separation</t>
  </si>
  <si>
    <t>Packager Unit #</t>
  </si>
  <si>
    <t>1601_Compressor Cent</t>
  </si>
  <si>
    <t>CAI_Hanna</t>
  </si>
  <si>
    <t>WSW_Wells, Source Water</t>
  </si>
  <si>
    <t>MTS1_Maintenance Shop</t>
  </si>
  <si>
    <t>1602_Compressor Recip</t>
  </si>
  <si>
    <t>CAL_Mantario/
Marengo</t>
  </si>
  <si>
    <t>WUN_Wells, Unit</t>
  </si>
  <si>
    <t>MET1_Methanol</t>
  </si>
  <si>
    <t>1603_Compressor Rotary</t>
  </si>
  <si>
    <t>CAN_SE Plains/
Cessford</t>
  </si>
  <si>
    <t>WWD_Wells, Water Disposal</t>
  </si>
  <si>
    <t>OFF1_Office</t>
  </si>
  <si>
    <t>1604_Compressor Axial</t>
  </si>
  <si>
    <t>CAO_SW Plains/
Claresholm</t>
  </si>
  <si>
    <t>WWI_Wells, Water Injection</t>
  </si>
  <si>
    <t>OFL1_Offloading</t>
  </si>
  <si>
    <t>1902_Crane</t>
  </si>
  <si>
    <t>CBH_SE Saskatchewan</t>
  </si>
  <si>
    <t>ZAB_Wells, Abandoned</t>
  </si>
  <si>
    <t>TRT1_Oil Treating</t>
  </si>
  <si>
    <t>Additional Comments</t>
  </si>
  <si>
    <t>1908_Hoist</t>
  </si>
  <si>
    <t>PWR1_Power Distribution</t>
  </si>
  <si>
    <t>1910_Trolley</t>
  </si>
  <si>
    <t>RCE1_Recycle</t>
  </si>
  <si>
    <t>2702_Starter</t>
  </si>
  <si>
    <t>REF1_Refrigeration</t>
  </si>
  <si>
    <t>2808_Circuit Breaker</t>
  </si>
  <si>
    <t>SAL1_Sales Distribution</t>
  </si>
  <si>
    <t>2809_Switchgear</t>
  </si>
  <si>
    <t>SOL1_Solution Gas</t>
  </si>
  <si>
    <t>2810_MCC</t>
  </si>
  <si>
    <t>STA1_Stabilization</t>
  </si>
  <si>
    <t>2812_Capacitor</t>
  </si>
  <si>
    <t>STO1_Storage</t>
  </si>
  <si>
    <t>2813_Panel Distribution</t>
  </si>
  <si>
    <t>TST1_Test Separation</t>
  </si>
  <si>
    <t>2814_Panel Control</t>
  </si>
  <si>
    <t>UTL1_Utilities</t>
  </si>
  <si>
    <t>2815_Cathodic Protection</t>
  </si>
  <si>
    <t>VRU1_Vapor Recovery Unit</t>
  </si>
  <si>
    <t>2823_Rectifier</t>
  </si>
  <si>
    <t>WHS1_Warehouse</t>
  </si>
  <si>
    <t>2827_Disconnect Switch</t>
  </si>
  <si>
    <t>DIS1_Water Disposal/Injection</t>
  </si>
  <si>
    <t>2828_Switch Transfer</t>
  </si>
  <si>
    <t>GAS1_Well, Gas</t>
  </si>
  <si>
    <t>2831_Transformer</t>
  </si>
  <si>
    <t>OIL1_Well, Oil</t>
  </si>
  <si>
    <t>2832_Variable Speed Drive</t>
  </si>
  <si>
    <t>SCR1_Well, Raw Water Source</t>
  </si>
  <si>
    <t>2840_Battery Charger</t>
  </si>
  <si>
    <t>INJ1_Pipeline Injection</t>
  </si>
  <si>
    <t>2841_UPS</t>
  </si>
  <si>
    <t>PRD1_Pipeline Production</t>
  </si>
  <si>
    <t>2903_Heater Electric</t>
  </si>
  <si>
    <t>CHE1_Chemical Injection/Treatment</t>
  </si>
  <si>
    <t>2904_Electric Heat Trace</t>
  </si>
  <si>
    <t>LMS1_Lime Softening</t>
  </si>
  <si>
    <t>3003_Motor AC</t>
  </si>
  <si>
    <t>ONL1_Onloading</t>
  </si>
  <si>
    <t>3004_Motor DC</t>
  </si>
  <si>
    <t>STG1_Steam Generation</t>
  </si>
  <si>
    <t>3005_Motor Synchronous</t>
  </si>
  <si>
    <t>VEH1_Vehicle</t>
  </si>
  <si>
    <t>3101_Generator Elec</t>
  </si>
  <si>
    <t>WSI1_Well, Steam Injection</t>
  </si>
  <si>
    <t>3104_Generator Wind</t>
  </si>
  <si>
    <t>CAT1_Cathodic System</t>
  </si>
  <si>
    <t>3105_Generator Solar</t>
  </si>
  <si>
    <t>COL1_Cooling</t>
  </si>
  <si>
    <t>3106_Generator T-E</t>
  </si>
  <si>
    <t>DCM1_Decompression</t>
  </si>
  <si>
    <t>3140_Battery</t>
  </si>
  <si>
    <t>FRC1_Fractionation</t>
  </si>
  <si>
    <t>3202_Engine</t>
  </si>
  <si>
    <t>FUE1_Fuel Gas</t>
  </si>
  <si>
    <t>3601_Furnaces</t>
  </si>
  <si>
    <t>INL1_Inlet</t>
  </si>
  <si>
    <t>3603_Heater Fired</t>
  </si>
  <si>
    <t>RCM1_Recompression</t>
  </si>
  <si>
    <t>3604_Incinerator</t>
  </si>
  <si>
    <t>SUL1_Sulfur extraction</t>
  </si>
  <si>
    <t>4003_Flow Mtr Coriolis</t>
  </si>
  <si>
    <t>4006_Flow Mtr Turbine</t>
  </si>
  <si>
    <t>4007_Flow Mtr Ultrasonic</t>
  </si>
  <si>
    <t>4008_Flow Mtr Venturi</t>
  </si>
  <si>
    <t>4009_Flow Mtr PD</t>
  </si>
  <si>
    <t>4010_Meter Prover</t>
  </si>
  <si>
    <t>4015_Acct Mtr Pkg</t>
  </si>
  <si>
    <t>4016_Ref Mtr Pkg</t>
  </si>
  <si>
    <t>4017_Meter Run Senior</t>
  </si>
  <si>
    <t>4018_Meter Run Junior</t>
  </si>
  <si>
    <t>4102_Exchanger Plate</t>
  </si>
  <si>
    <t>4103_Exchanger S&amp;T</t>
  </si>
  <si>
    <t>4107_Reboiler</t>
  </si>
  <si>
    <t>4117_Cooler</t>
  </si>
  <si>
    <t>4120_Exchanger Air Cooled</t>
  </si>
  <si>
    <t>4300_Primary Element</t>
  </si>
  <si>
    <t>4301_Controller</t>
  </si>
  <si>
    <t>4302_Control Valve</t>
  </si>
  <si>
    <t>4303_Alarms SDs</t>
  </si>
  <si>
    <t>4304_Analyzer</t>
  </si>
  <si>
    <t>4304_Analyzer Chromatograph</t>
  </si>
  <si>
    <t>4305_Transmitter</t>
  </si>
  <si>
    <t>4306_Inst Switch</t>
  </si>
  <si>
    <t>4307_DCS</t>
  </si>
  <si>
    <t>4308_PLC</t>
  </si>
  <si>
    <t>4315_Indicator</t>
  </si>
  <si>
    <t>4316_Recorder</t>
  </si>
  <si>
    <t>4318_Solenoid Valve</t>
  </si>
  <si>
    <t>4319_Ignitor</t>
  </si>
  <si>
    <t>4320_SCADA</t>
  </si>
  <si>
    <t>4905_Lab/Test Equip</t>
  </si>
  <si>
    <t>4928_Sample Point</t>
  </si>
  <si>
    <t>5902_Lighting Emerg</t>
  </si>
  <si>
    <t>5903_Strobe Warning</t>
  </si>
  <si>
    <t>6011_Pipelines</t>
  </si>
  <si>
    <t>6014_Probe Corrosion</t>
  </si>
  <si>
    <t>6023_Pig Trap</t>
  </si>
  <si>
    <t>6023_Pigging Valve</t>
  </si>
  <si>
    <t>6026_Mixer Static</t>
  </si>
  <si>
    <t>6033_Trap SteamMoist</t>
  </si>
  <si>
    <t>6039_Piping Circuit</t>
  </si>
  <si>
    <t>6304_Gearbox Var Spd</t>
  </si>
  <si>
    <t>6702_Pump Cent</t>
  </si>
  <si>
    <t>6703_Pump Recip</t>
  </si>
  <si>
    <t>6704_Pump Rotary</t>
  </si>
  <si>
    <t>6803_Cylinder Comp</t>
  </si>
  <si>
    <t>7506_Eye Wash Stn</t>
  </si>
  <si>
    <t>7507_First Aid Kit</t>
  </si>
  <si>
    <t>7514_Fire Alarm Sys</t>
  </si>
  <si>
    <t>7518_Fire Extnguisher</t>
  </si>
  <si>
    <t>7520_Fire Hydrant</t>
  </si>
  <si>
    <t>7522_Flame Arrester</t>
  </si>
  <si>
    <t>7527_Fire Monitor</t>
  </si>
  <si>
    <t>7528_Sprinkler Sys</t>
  </si>
  <si>
    <t>7535_SCBA</t>
  </si>
  <si>
    <t>7538_Pers Monitor</t>
  </si>
  <si>
    <t>7539_Defibulator</t>
  </si>
  <si>
    <t>7540_Air Monitor Stn</t>
  </si>
  <si>
    <t>7541_SABA</t>
  </si>
  <si>
    <t>7599_Misc Safety Eq</t>
  </si>
  <si>
    <t>7703_Welding Machine</t>
  </si>
  <si>
    <t>7726_Portable Equip</t>
  </si>
  <si>
    <t>8008_Radio Equipment</t>
  </si>
  <si>
    <t>8012_AutoCallout Sys</t>
  </si>
  <si>
    <t>8401_Turbine Gas</t>
  </si>
  <si>
    <t>8402_Turbine Steam</t>
  </si>
  <si>
    <t>8403_Turbine Hyd</t>
  </si>
  <si>
    <t>8601_Expander Centr</t>
  </si>
  <si>
    <t>8713_Valve Prc Block</t>
  </si>
  <si>
    <t>9104_Valve Motor Opr</t>
  </si>
  <si>
    <t>9301_Relief Valve</t>
  </si>
  <si>
    <t>9403_Mobile Equip Backhoe</t>
  </si>
  <si>
    <t>9403_Mobile Equip Forklift Truck</t>
  </si>
  <si>
    <t>9403_Mobile Equip Loader</t>
  </si>
  <si>
    <t>9403_Mobile Equip Manlift</t>
  </si>
  <si>
    <t>9403_Mobile Equip RTV</t>
  </si>
  <si>
    <t>9403_Mobile Equip Tractor</t>
  </si>
  <si>
    <t>9501_Tank AST</t>
  </si>
  <si>
    <t>9501_Tank CST</t>
  </si>
  <si>
    <t>9501_Tank UST</t>
  </si>
  <si>
    <t>9504_Scrubber</t>
  </si>
  <si>
    <t>9505_Tower</t>
  </si>
  <si>
    <t>9509_Sphere</t>
  </si>
  <si>
    <t>9510_Absorber</t>
  </si>
  <si>
    <t>9511_Accumulator</t>
  </si>
  <si>
    <t>9512_Vessel Contactor</t>
  </si>
  <si>
    <t>9513_Cyclone</t>
  </si>
  <si>
    <t>9517_Vessel</t>
  </si>
  <si>
    <t>9517_Vessel Air Volume</t>
  </si>
  <si>
    <t>9517_Vessel Coalescer</t>
  </si>
  <si>
    <t>9517_Vessel Treater</t>
  </si>
  <si>
    <t>9524_Pulsation Dampener</t>
  </si>
  <si>
    <t>9526_Separator</t>
  </si>
  <si>
    <t>9527_Vessel Filter</t>
  </si>
  <si>
    <t>9528_Air Dryer</t>
  </si>
  <si>
    <t>9530_Compr Bottle</t>
  </si>
  <si>
    <t>9535_Bullet</t>
  </si>
  <si>
    <t>9536_Drum</t>
  </si>
  <si>
    <t>9538_Eductor</t>
  </si>
  <si>
    <t>9702_Separator Pkg</t>
  </si>
  <si>
    <t>9703_Dehy Pkg</t>
  </si>
  <si>
    <t>9704_Sweetening Pkg</t>
  </si>
  <si>
    <t>9705_Tank Pkg</t>
  </si>
  <si>
    <t>9706_Pump Pkg</t>
  </si>
  <si>
    <t>9708_Generator Pkg</t>
  </si>
  <si>
    <t>9709_VRU Pkg</t>
  </si>
  <si>
    <t>3202 Engine</t>
  </si>
  <si>
    <t>3003 Electric Motor</t>
  </si>
  <si>
    <t>4117 Cooler</t>
  </si>
  <si>
    <t>2814 Panel Control</t>
  </si>
  <si>
    <t>9526 Separator</t>
  </si>
  <si>
    <t>1004 Building</t>
  </si>
  <si>
    <t>9504 Scrubber</t>
  </si>
  <si>
    <t>1601 Compr Cent</t>
  </si>
  <si>
    <t xml:space="preserve">1602 Comp Recip </t>
  </si>
  <si>
    <t>8401 Turbine Gas</t>
  </si>
  <si>
    <t>4015 Acct Meter</t>
  </si>
  <si>
    <t>1603 Comp Rotary</t>
  </si>
  <si>
    <t>1210 Blow Case</t>
  </si>
  <si>
    <t>4006 Flow Meter Turbine</t>
  </si>
  <si>
    <t>4007 Flow Meter Ultrasonic</t>
  </si>
  <si>
    <t>4008 Flow Meter Venturi</t>
  </si>
  <si>
    <t>4009 Flow Meter PD</t>
  </si>
  <si>
    <t>4017 Meter Run Senior</t>
  </si>
  <si>
    <t>4316 Recorder Dryflow</t>
  </si>
  <si>
    <t>3101 Generator Electric</t>
  </si>
  <si>
    <t>4120 Exchanger Air Cooled</t>
  </si>
  <si>
    <t>6803 Cylinder Comp</t>
  </si>
  <si>
    <t>9530 Comp Bottle</t>
  </si>
  <si>
    <t>4102 Exchanger Plate</t>
  </si>
  <si>
    <t>3003 Electric Motor (Comp Pkg Cooler)</t>
  </si>
  <si>
    <t>4305 Transmitter (MVT)</t>
  </si>
  <si>
    <t>9527 Vessel Filter</t>
  </si>
  <si>
    <t>9517 Vessel Coalescer</t>
  </si>
  <si>
    <t>Service Med, liq/gas/steam/air</t>
  </si>
  <si>
    <t>Service Medium, liq/gas/steam</t>
  </si>
  <si>
    <t>OIL TYPE</t>
  </si>
  <si>
    <t>Capacity Gross Volume</t>
  </si>
  <si>
    <t>BBL</t>
  </si>
  <si>
    <t>Distance Piece Cmprtmnts (1/2)</t>
  </si>
  <si>
    <t>Purged packings (Y/N)</t>
  </si>
  <si>
    <t>Service Medium (Swt / Sr / Ar)</t>
  </si>
  <si>
    <t>Water-cooled packings (Y/N)</t>
  </si>
  <si>
    <t>CYLINDER STROKE LENGTH</t>
  </si>
  <si>
    <t>MAX ALLOWABLE ROD LOAD</t>
  </si>
  <si>
    <t>MAXIMUM RATED RPM</t>
  </si>
  <si>
    <t>MAXIMUM ROD LOAD COMPRESSION</t>
  </si>
  <si>
    <t>MAXIMUM ROD LOAD TENSION</t>
  </si>
  <si>
    <t>NUMBER OF THROWS</t>
  </si>
  <si>
    <t>MIN OPERATING SPEED</t>
  </si>
  <si>
    <t>RPM</t>
  </si>
  <si>
    <t>RATED HP @ SPEED</t>
  </si>
  <si>
    <t>HP</t>
  </si>
  <si>
    <t>ROD DIAMETER</t>
  </si>
  <si>
    <t>PISTON ROD MATERIAL</t>
  </si>
  <si>
    <t>Internal Volume Ratio (Vi)</t>
  </si>
  <si>
    <t>LUBE PUMP (Y/N)</t>
  </si>
  <si>
    <t>MAWP</t>
  </si>
  <si>
    <t>PSI</t>
  </si>
  <si>
    <t>RATED HORSEPOWER</t>
  </si>
  <si>
    <t>RATED RPM</t>
  </si>
  <si>
    <t>Auto Internal Volume Rtio (Vi)</t>
  </si>
  <si>
    <t>Fixed Int Volume Ratio (Vi)</t>
  </si>
  <si>
    <t>Gear Ratio</t>
  </si>
  <si>
    <t>DRAWING NO. AND REVISION NO.</t>
  </si>
  <si>
    <t>Service Medium</t>
  </si>
  <si>
    <t>MOTOR SPACE HEATER RATED VOLTS</t>
  </si>
  <si>
    <t>MOTOR VOLTAGE RATING</t>
  </si>
  <si>
    <t>SERVICE FACTOR</t>
  </si>
  <si>
    <t>ANY RTD'S CONNECTED (Y/N)</t>
  </si>
  <si>
    <t>Fresh Air Intake (Y/N)</t>
  </si>
  <si>
    <t>Inverter Duty Rated (Y/N)</t>
  </si>
  <si>
    <t>SPACE HEATER (Y/N)</t>
  </si>
  <si>
    <t>SURGE CAPACITOR Y/N</t>
  </si>
  <si>
    <t>BELT LENGTH</t>
  </si>
  <si>
    <t>BELTS QTY</t>
  </si>
  <si>
    <t>DRIVER SHEAVE DIA</t>
  </si>
  <si>
    <t>Frame</t>
  </si>
  <si>
    <t>Horsepower</t>
  </si>
  <si>
    <t>Phase</t>
  </si>
  <si>
    <t>1 or 3</t>
  </si>
  <si>
    <t>SPEED (RPM)</t>
  </si>
  <si>
    <t>INSULATION CLASS</t>
  </si>
  <si>
    <t>MOTOR TYPE DESIGNATION</t>
  </si>
  <si>
    <t>Manufacturer Date</t>
  </si>
  <si>
    <t>Motor Amperage Rating</t>
  </si>
  <si>
    <t>Governor Type</t>
  </si>
  <si>
    <t>SKID_MOUNT_Y-N</t>
  </si>
  <si>
    <t>AIR/FUEL RATIO CONTROLLER</t>
  </si>
  <si>
    <t>CATALYTIC CONVERTER</t>
  </si>
  <si>
    <t>DETONATION SENSING MODULE</t>
  </si>
  <si>
    <t>ENGINE SHEAVE SIZE</t>
  </si>
  <si>
    <t>IGNITION MODULE</t>
  </si>
  <si>
    <t>LUBE OIL SPINNER FILTRATION</t>
  </si>
  <si>
    <t>MAX BOOST MIN VACUUM</t>
  </si>
  <si>
    <t>OIL MAKE &amp; TYPE</t>
  </si>
  <si>
    <t>SHAFT DIAMETER - DRIVER</t>
  </si>
  <si>
    <t>SPEC NO OR ARRANGEMENT</t>
  </si>
  <si>
    <t>Governor Manufacturer</t>
  </si>
  <si>
    <t>GOVERNOR MODEL</t>
  </si>
  <si>
    <t>GOVERNER SERIAL NUMBER</t>
  </si>
  <si>
    <t>Engine Oil Capacity</t>
  </si>
  <si>
    <t>MAX. AMBIENT TEMPERATURE</t>
  </si>
  <si>
    <t>Alternate Jur #</t>
  </si>
  <si>
    <t>Alternate Province</t>
  </si>
  <si>
    <t>Capacity</t>
  </si>
  <si>
    <t>mm/dd/yyyy</t>
  </si>
  <si>
    <t>CRN NUMBER</t>
  </si>
  <si>
    <t>Design Pressure</t>
  </si>
  <si>
    <t>DIAMETER</t>
  </si>
  <si>
    <t>in</t>
  </si>
  <si>
    <t>DIAMETER TYPE</t>
  </si>
  <si>
    <t>External Insulation</t>
  </si>
  <si>
    <t>Flange Rating</t>
  </si>
  <si>
    <t>m2</t>
  </si>
  <si>
    <t>Length</t>
  </si>
  <si>
    <t>MANWAY</t>
  </si>
  <si>
    <t>kpa</t>
  </si>
  <si>
    <t>C</t>
  </si>
  <si>
    <t>DEMISTER PAD</t>
  </si>
  <si>
    <t>INTERNAL COATING</t>
  </si>
  <si>
    <t>AGA NUMBER</t>
  </si>
  <si>
    <t>DIFFERENTIAL RANGE</t>
  </si>
  <si>
    <t>DOWNSTREAM DIAMETER</t>
  </si>
  <si>
    <t>MAX ALLOW WORKING PRESS</t>
  </si>
  <si>
    <t>METER RUN - MAKE</t>
  </si>
  <si>
    <t>METER RUN - MODEL</t>
  </si>
  <si>
    <t>METER RUN - S/N</t>
  </si>
  <si>
    <t>METER TYPE</t>
  </si>
  <si>
    <t>NOMINAL SIZE</t>
  </si>
  <si>
    <t>ORIFICE CHANGER</t>
  </si>
  <si>
    <t>RECORDER TOTALIZER</t>
  </si>
  <si>
    <t>STATIC RANGE</t>
  </si>
  <si>
    <t>STRAIGHTENING VANES</t>
  </si>
  <si>
    <t>Taps</t>
  </si>
  <si>
    <t>Temperature Range</t>
  </si>
  <si>
    <t>UPSTREAM DIAMETER</t>
  </si>
  <si>
    <t>AUXILIARY WATER SECTION</t>
  </si>
  <si>
    <t>Blade Pitch Adjustable (Y/N)</t>
  </si>
  <si>
    <t>ENGINE/MOTOR DRIVEN</t>
  </si>
  <si>
    <t>FAN DIAMETER</t>
  </si>
  <si>
    <t>FAN RPM</t>
  </si>
  <si>
    <t>JACKET WATER SECTION</t>
  </si>
  <si>
    <t>LOUVERS AUTO Y/N</t>
  </si>
  <si>
    <t>NO. OF COOLING BANKS</t>
  </si>
  <si>
    <t>NO. OF FANS</t>
  </si>
  <si>
    <t>NUMBER OF BLADES</t>
  </si>
  <si>
    <t>Power Source (Engine or Extrn)</t>
  </si>
  <si>
    <t>PANEL_PNEUMATIC_ELECTRONIC</t>
  </si>
  <si>
    <t>PANEL APPLICATION</t>
  </si>
  <si>
    <t>comp, flare, control</t>
  </si>
  <si>
    <t>HVAC (Y/N)</t>
  </si>
  <si>
    <t>PURPOSE</t>
  </si>
  <si>
    <t>SPRINKLER SYSTEM</t>
  </si>
  <si>
    <t>STRUCTURE TYPE</t>
  </si>
  <si>
    <t>WIDTH</t>
  </si>
  <si>
    <t>CYLINDER LINER (Y/N)</t>
  </si>
  <si>
    <t>CYLINDER ACTION</t>
  </si>
  <si>
    <t>Cylndr Rated Dschrg Prss, psig</t>
  </si>
  <si>
    <t>Design Pressure, psig</t>
  </si>
  <si>
    <t>Liner inner diameter [in]</t>
  </si>
  <si>
    <t>MINIMUMCLEARANCE CRANK END %</t>
  </si>
  <si>
    <t>MINIUMUM CLEARANCE HEAD END %</t>
  </si>
  <si>
    <t>NO OF DISCHARGE VALVES</t>
  </si>
  <si>
    <t>NO OF SUCTION VALVES</t>
  </si>
  <si>
    <t>PISTON DIAMETER</t>
  </si>
  <si>
    <t>THROW NUMBER</t>
  </si>
  <si>
    <t>V V CP POCKET SER #</t>
  </si>
  <si>
    <t>VALVE MATERIAL</t>
  </si>
  <si>
    <t>AMPERAGE</t>
  </si>
  <si>
    <t>RATED OUTPUT</t>
  </si>
  <si>
    <t>VOLTAGE OUTPUT</t>
  </si>
  <si>
    <t>POWER SUPPLY</t>
  </si>
  <si>
    <t>RTU SITE</t>
  </si>
  <si>
    <t>Equipment Status</t>
  </si>
  <si>
    <t>Capacity UOM</t>
  </si>
  <si>
    <t>DATE COMMISSIONED</t>
  </si>
  <si>
    <t>DISCHARGE NOZZLE RATING</t>
  </si>
  <si>
    <t>Flange Rating UOM</t>
  </si>
  <si>
    <t>INLET FLANGE SIZE</t>
  </si>
  <si>
    <t>INLET NOZZLE RATING</t>
  </si>
  <si>
    <t>Internal Access (Yes/No)</t>
  </si>
  <si>
    <t>LENGTH (IN)</t>
  </si>
  <si>
    <t>MAWP Shell (kPa)</t>
  </si>
  <si>
    <t>kPa</t>
  </si>
  <si>
    <t>MAWT Shell</t>
  </si>
  <si>
    <t>OUTLET FLANGE SIZE</t>
  </si>
  <si>
    <t>Shell MDMT, C</t>
  </si>
  <si>
    <t>DESIGN TEMP</t>
  </si>
  <si>
    <t>Heating Surface</t>
  </si>
  <si>
    <t>Design Pressure UOM</t>
  </si>
  <si>
    <t>INTERNAL CONTACT</t>
  </si>
  <si>
    <t>Area Level 3</t>
  </si>
  <si>
    <t>choose from drop down</t>
  </si>
  <si>
    <t>indicate measurement</t>
  </si>
  <si>
    <t>inches</t>
  </si>
  <si>
    <t>C or F</t>
  </si>
  <si>
    <t>CRN_NUMBER</t>
  </si>
  <si>
    <t>SERVICE</t>
  </si>
  <si>
    <t>DIFFERENTIAL_RANGE</t>
  </si>
  <si>
    <t>DOWNSTREAM_DIAMETER</t>
  </si>
  <si>
    <t>METER_TYPE</t>
  </si>
  <si>
    <t>NOMINAL_SIZE</t>
  </si>
  <si>
    <t>ORIFICE_CHANGER</t>
  </si>
  <si>
    <t>OUTPUT_RANGE_PSI</t>
  </si>
  <si>
    <t>RANGE_VALUE_VDC</t>
  </si>
  <si>
    <t>SERVICE_CASING_TUBING</t>
  </si>
  <si>
    <t>STATIC_RANGE</t>
  </si>
  <si>
    <t>STRAIGHTENING_VANES</t>
  </si>
  <si>
    <t>TAPS</t>
  </si>
  <si>
    <t>TEMPERATURE_RANGE</t>
  </si>
  <si>
    <t>UPSTREAM_DIAMETER</t>
  </si>
  <si>
    <t>ALGD_Algood Team</t>
  </si>
  <si>
    <t>LAGL_La Glace</t>
  </si>
  <si>
    <t>NROC_NR OperatingCentre</t>
  </si>
  <si>
    <t>NRSS_NR Surplus Storage</t>
  </si>
  <si>
    <t>WEMB_Wembley</t>
  </si>
  <si>
    <t>WEMP_Wembley Gas Plant</t>
  </si>
  <si>
    <t>WEST_Wembley West</t>
  </si>
  <si>
    <t>WHWB_WEM HWB Gas Unit 2</t>
  </si>
  <si>
    <t>BEAR_Bear River</t>
  </si>
  <si>
    <t>KAKT_Kakut</t>
  </si>
  <si>
    <t>KNOP_Knopcik</t>
  </si>
  <si>
    <t>PROG_Progress</t>
  </si>
  <si>
    <t>SADD_Saddle Hills</t>
  </si>
  <si>
    <t>SEXS_Sexsmith</t>
  </si>
  <si>
    <t>SPIR_Spirit River</t>
  </si>
  <si>
    <t>VALH_Valhalla</t>
  </si>
  <si>
    <t>BONZ_Bonanza</t>
  </si>
  <si>
    <t>CLAI_Clair</t>
  </si>
  <si>
    <t>GDFR_Goodfare</t>
  </si>
  <si>
    <t>ELMP_Elmworth Plant</t>
  </si>
  <si>
    <t>ELMH_Hiding Creek</t>
  </si>
  <si>
    <t>ELMG_Elmworth Gathering</t>
  </si>
  <si>
    <t>RMHO_RMH Field Office</t>
  </si>
  <si>
    <t>NONO_Nordegg</t>
  </si>
  <si>
    <t>BRAU_Brazeau</t>
  </si>
  <si>
    <t>FERR_Ferrier</t>
  </si>
  <si>
    <t>MINE_Minehead</t>
  </si>
  <si>
    <t>PECO_Peco</t>
  </si>
  <si>
    <t>SEDS_South Edson</t>
  </si>
  <si>
    <t>WHOR_Whitehorse</t>
  </si>
  <si>
    <t>BANS_Banshee</t>
  </si>
  <si>
    <t>BASI_Basing</t>
  </si>
  <si>
    <t>BLCK_Blackstone</t>
  </si>
  <si>
    <t>GREG_Gregg Antler</t>
  </si>
  <si>
    <t>LOVE_Lovett River</t>
  </si>
  <si>
    <t>MOUN_Mountain</t>
  </si>
  <si>
    <t>STOL_Stolberg</t>
  </si>
  <si>
    <t>EDSN_Edson Office</t>
  </si>
  <si>
    <t>PEMB_Pembina-Niton</t>
  </si>
  <si>
    <t>CARS_Carson Creek</t>
  </si>
  <si>
    <t>MCLE_Mcleod</t>
  </si>
  <si>
    <t>NITO_Niton</t>
  </si>
  <si>
    <t>NITU_Niton Unit</t>
  </si>
  <si>
    <t>WCOU_White Court</t>
  </si>
  <si>
    <t>WPRV_West Paddle River</t>
  </si>
  <si>
    <t>TWIN_Twining</t>
  </si>
  <si>
    <t>CTHC_CBM General</t>
  </si>
  <si>
    <t>HUXL_Huxley</t>
  </si>
  <si>
    <t>RUMS_Rumsey may be sold</t>
  </si>
  <si>
    <t>THCP_Three Hills Creek</t>
  </si>
  <si>
    <t>THMO_Three Hills MOG</t>
  </si>
  <si>
    <t>TROC_Trochu</t>
  </si>
  <si>
    <t>GPNE_Ghost Pine Northeast Run</t>
  </si>
  <si>
    <t>GPNW_Ghost Pine NorthWest &amp; CBM Run</t>
  </si>
  <si>
    <t>GPSE_Ghost Pine Southeast Run</t>
  </si>
  <si>
    <t>GPSW_Ghost Pine Southwest Run</t>
  </si>
  <si>
    <t>GPWR_Ghost Pine West Run</t>
  </si>
  <si>
    <t>GPPL_Ghost Pine Plant</t>
  </si>
  <si>
    <t>DOBS_Dobson</t>
  </si>
  <si>
    <t>BERR_Berry</t>
  </si>
  <si>
    <t>DOWL_Dowling Lake</t>
  </si>
  <si>
    <t>RCDL_Richdale</t>
  </si>
  <si>
    <t>STAN_Stanmore</t>
  </si>
  <si>
    <t>COYO_Coyote</t>
  </si>
  <si>
    <t>HANN_Hanna</t>
  </si>
  <si>
    <t>HOAD_Hoadley</t>
  </si>
  <si>
    <t>WWES_Westerose West</t>
  </si>
  <si>
    <t>RIMO_Rimbey Office</t>
  </si>
  <si>
    <t>BRET_Breton</t>
  </si>
  <si>
    <t>HOME_Homeglen Rimbey</t>
  </si>
  <si>
    <t>RIMB_Rimbey</t>
  </si>
  <si>
    <t>WNOR_Westerose North</t>
  </si>
  <si>
    <t>WSOU_Westerose South</t>
  </si>
  <si>
    <t>THOR_Thorsby</t>
  </si>
  <si>
    <t>SYLK_Sylvan Lake</t>
  </si>
  <si>
    <t>MRNO_Med River North</t>
  </si>
  <si>
    <t>ECKO_Eckville Office</t>
  </si>
  <si>
    <t>GILB_Gilby</t>
  </si>
  <si>
    <t>MRSO_Med River South</t>
  </si>
  <si>
    <t>MANE_Mantario East</t>
  </si>
  <si>
    <t>MANN_Mantario North</t>
  </si>
  <si>
    <t>MARE_Marengo</t>
  </si>
  <si>
    <t>MARS_Marengo South</t>
  </si>
  <si>
    <t>SKMS_Mog - Sask</t>
  </si>
  <si>
    <t>CESG_Cess Shallow Gas</t>
  </si>
  <si>
    <t>CMIS_Cessford Misc</t>
  </si>
  <si>
    <t>COMC_Cess Oil ManC Unit</t>
  </si>
  <si>
    <t>CONU_Cess Oil Non Unit</t>
  </si>
  <si>
    <t>COU2_Cess Oil Unit 2</t>
  </si>
  <si>
    <t>CPLT_Cess Plant &amp; GGS</t>
  </si>
  <si>
    <t>SEPM_SE Plains Misc</t>
  </si>
  <si>
    <t>CONN_Connorsville</t>
  </si>
  <si>
    <t>JUMP_Jumpbush</t>
  </si>
  <si>
    <t>MAJO_Majorville</t>
  </si>
  <si>
    <t>ENCH_Enchant</t>
  </si>
  <si>
    <t>BARO_Barons (hCOP)</t>
  </si>
  <si>
    <t>HERR_Herronton</t>
  </si>
  <si>
    <t>QUEE_Queenstown</t>
  </si>
  <si>
    <t>SWPM_SW Plains Misc</t>
  </si>
  <si>
    <t>VCEN_Central</t>
  </si>
  <si>
    <t>VLCO_Long Coulee</t>
  </si>
  <si>
    <t>VULP_Vulcan Gas Plant</t>
  </si>
  <si>
    <t>CLRS_Claresholm (hBR)</t>
  </si>
  <si>
    <t>CABC_Cabin Creek</t>
  </si>
  <si>
    <t>SOLO_Soloman</t>
  </si>
  <si>
    <t>TLAK_Two Lakes</t>
  </si>
  <si>
    <t>GRCA_Grande Cache</t>
  </si>
  <si>
    <t>LYXN_Lynx North</t>
  </si>
  <si>
    <t>LYXS_Lynx South</t>
  </si>
  <si>
    <t>GLAK_Greg Lake</t>
  </si>
  <si>
    <t>MRSH_Marsh</t>
  </si>
  <si>
    <t>OBED_Obed</t>
  </si>
  <si>
    <t>ALTA_Alberta</t>
  </si>
  <si>
    <t>BCUN_BC Unit</t>
  </si>
  <si>
    <t>CORR_Corridor</t>
  </si>
  <si>
    <t>GUTA_Gutah</t>
  </si>
  <si>
    <t>KAHN_Kahntah</t>
  </si>
  <si>
    <t>NRIN_North Border</t>
  </si>
  <si>
    <t>PEDI_Pedigree</t>
  </si>
  <si>
    <t>RING_Ring Border</t>
  </si>
  <si>
    <t>SPNT_Slave Point</t>
  </si>
  <si>
    <t>TANG_Tanghe</t>
  </si>
  <si>
    <t>EDSN_Edson 11-32</t>
  </si>
  <si>
    <t>WOLN_North 14-32</t>
  </si>
  <si>
    <t>WONO_Wolf North</t>
  </si>
  <si>
    <t>WEAS_Wolf East</t>
  </si>
  <si>
    <t>WOEA_East 5-28</t>
  </si>
  <si>
    <t>WOLE_East 2-5</t>
  </si>
  <si>
    <t>WOLR_Rosevear 5-12</t>
  </si>
  <si>
    <t>WOLS_South 6-20</t>
  </si>
  <si>
    <t>WOLP_Wolf Plant</t>
  </si>
  <si>
    <t>CHIN_Chinchaga</t>
  </si>
  <si>
    <t>HARO_Haro</t>
  </si>
  <si>
    <t>WORS_Worsley</t>
  </si>
  <si>
    <t>HAMB_Hamburg</t>
  </si>
  <si>
    <t>HLAM_HighLevel NAB Misc</t>
  </si>
  <si>
    <t>HLBM_HighLevel NBC Misc</t>
  </si>
  <si>
    <t>BLUE_Blueberry</t>
  </si>
  <si>
    <t>JEDN_Jedney</t>
  </si>
  <si>
    <t>LAPB_Lapp</t>
  </si>
  <si>
    <t>BSKY_Bluesky</t>
  </si>
  <si>
    <t>FBIR_Firebird</t>
  </si>
  <si>
    <t>LAPA_Lapp (Alberta)</t>
  </si>
  <si>
    <t>BEGG_Beg</t>
  </si>
  <si>
    <t>DAHL_Dahl</t>
  </si>
  <si>
    <t>FROK_Flatrock</t>
  </si>
  <si>
    <t>GUND_Gundy</t>
  </si>
  <si>
    <t>MELL_Mel</t>
  </si>
  <si>
    <t>MONT_Montney</t>
  </si>
  <si>
    <t>PICK_Pickell</t>
  </si>
  <si>
    <t>TOWN_Town</t>
  </si>
  <si>
    <t>WTWN_Julienne/West Town</t>
  </si>
  <si>
    <t>KLAK_Kelly Lake</t>
  </si>
  <si>
    <t>NOEL_Noel</t>
  </si>
  <si>
    <t>TUPP_Tupper</t>
  </si>
  <si>
    <t>BRAS_Brassey</t>
  </si>
  <si>
    <t>JPIN_Jackpine</t>
  </si>
  <si>
    <t>MOON_Half Moon</t>
  </si>
  <si>
    <t>MOOS_Moose</t>
  </si>
  <si>
    <t>SDWN_Sundown</t>
  </si>
  <si>
    <t>NPLT_Noel Plant</t>
  </si>
  <si>
    <t>NARR_Narraway</t>
  </si>
  <si>
    <t>WAPI_Wapiti</t>
  </si>
  <si>
    <t>WAPS_South Wapiti</t>
  </si>
  <si>
    <t>BRSO_Berland Sour</t>
  </si>
  <si>
    <t>BRSW_Berland Sweet</t>
  </si>
  <si>
    <t>BSTO_Bigstone</t>
  </si>
  <si>
    <t>GBAN_Greenbank</t>
  </si>
  <si>
    <t>NPCK_North Pine Creek</t>
  </si>
  <si>
    <t>SPCK_South Pine Creek</t>
  </si>
  <si>
    <t>KAKW_Kakwa</t>
  </si>
  <si>
    <t>REST_Resthaven</t>
  </si>
  <si>
    <t>BOUL_Boulder</t>
  </si>
  <si>
    <t>BRAZ_Brazion</t>
  </si>
  <si>
    <t>WBUL_West Bullmoose</t>
  </si>
  <si>
    <t>OJAY_Ojay</t>
  </si>
  <si>
    <t>SGRI_South Grizzly</t>
  </si>
  <si>
    <t>WSUK_West Sukunka</t>
  </si>
  <si>
    <t>ALDE_Alder Flats</t>
  </si>
  <si>
    <t>DRAY_Drayton Office</t>
  </si>
  <si>
    <t>OCHI_O'Chiese</t>
  </si>
  <si>
    <t>LODG_Lodgepole</t>
  </si>
  <si>
    <t>CARN_Carnwood</t>
  </si>
  <si>
    <t>NISK_Nisku</t>
  </si>
  <si>
    <t>GARR_Garrington</t>
  </si>
  <si>
    <t>CHED_Cheddarville</t>
  </si>
  <si>
    <t>GILW_Gilby West</t>
  </si>
  <si>
    <t>PRLK_Percy Lake</t>
  </si>
  <si>
    <t>SCLK_Scovil Lake</t>
  </si>
  <si>
    <t>VNLK_Vernon Lake</t>
  </si>
  <si>
    <t>KNCP_Kinsella Camp</t>
  </si>
  <si>
    <t>VKBL_Viking Block</t>
  </si>
  <si>
    <t>VKOF_Viking Office &amp; Brydon Yard</t>
  </si>
  <si>
    <t>ALAM_Almeda</t>
  </si>
  <si>
    <t>BENS_Benson</t>
  </si>
  <si>
    <t>INGO_Ingoldsby Oungre</t>
  </si>
  <si>
    <t>MOMO_Moose Mountain</t>
  </si>
  <si>
    <t>MORR_Morrisview</t>
  </si>
  <si>
    <t>ROSE_Rosebank</t>
  </si>
  <si>
    <t>WAUC_Wauchope</t>
  </si>
  <si>
    <t>WEYB_Weyburn</t>
  </si>
  <si>
    <t>BRNS_Bronson</t>
  </si>
  <si>
    <t>GOOD_Goodwin</t>
  </si>
  <si>
    <t>MAHE_Mahaska East</t>
  </si>
  <si>
    <t>MCLD_McLeod</t>
  </si>
  <si>
    <t>PNCR_Pine Creek</t>
  </si>
  <si>
    <t>ROSE_Rosevear</t>
  </si>
  <si>
    <t>SAKW_Sakwatamau</t>
  </si>
  <si>
    <t>HOLD_Holden</t>
  </si>
  <si>
    <t>IRCR_Iron Creek</t>
  </si>
  <si>
    <t>KILL_Killam</t>
  </si>
  <si>
    <t>MUND_Mundare</t>
  </si>
  <si>
    <t>PLLK_Plain Lake</t>
  </si>
  <si>
    <t>WARW_Warwick</t>
  </si>
  <si>
    <t>IRMA_Irma Oil Battery</t>
  </si>
  <si>
    <t>KESL_Kesley CBM</t>
  </si>
  <si>
    <t>STATUS</t>
  </si>
  <si>
    <t>100% Visible</t>
  </si>
  <si>
    <t>BERM LINED</t>
  </si>
  <si>
    <t>BLADE PITCH ADJUSTABLE</t>
  </si>
  <si>
    <t>BLANKET GAS</t>
  </si>
  <si>
    <t>CAPACITY UOM</t>
  </si>
  <si>
    <t>M3</t>
  </si>
  <si>
    <t>FT3</t>
  </si>
  <si>
    <t>M3/HR</t>
  </si>
  <si>
    <t>KG/HR</t>
  </si>
  <si>
    <t>GALLON</t>
  </si>
  <si>
    <t>BARREL</t>
  </si>
  <si>
    <t>CYLINDER LINER</t>
  </si>
  <si>
    <t>UNKNOWN</t>
  </si>
  <si>
    <t>DESIGN PRESSURE UOM</t>
  </si>
  <si>
    <t>KPAG</t>
  </si>
  <si>
    <t>PSIG</t>
  </si>
  <si>
    <t>BARG</t>
  </si>
  <si>
    <t>ID</t>
  </si>
  <si>
    <t>OD</t>
  </si>
  <si>
    <t>EMERGENCY RELIEF VALVE</t>
  </si>
  <si>
    <t>FIRE TUBE</t>
  </si>
  <si>
    <t>FLANGE RATING UOM</t>
  </si>
  <si>
    <t>ANSI</t>
  </si>
  <si>
    <t>FLASH ARRESOR</t>
  </si>
  <si>
    <t>HEAT COIL</t>
  </si>
  <si>
    <t>INSPECTION INTERVAL</t>
  </si>
  <si>
    <t>3 YEARS</t>
  </si>
  <si>
    <t>5 YEARS</t>
  </si>
  <si>
    <t>INSULATION</t>
  </si>
  <si>
    <t>INTEGRAL SKID</t>
  </si>
  <si>
    <t>INTERNAL ACCESS</t>
  </si>
  <si>
    <t>LOUVERS AUTO</t>
  </si>
  <si>
    <t>MONTHLY VE REQ</t>
  </si>
  <si>
    <t>POWER SOURCE</t>
  </si>
  <si>
    <t>PRESSURE RELIEF DEVICE</t>
  </si>
  <si>
    <t>PROTECTION HLSD</t>
  </si>
  <si>
    <t>SECONDARY CONTAINMENT OR BERM</t>
  </si>
  <si>
    <t>SERVICE MEDIUM COND/EMUL/WATER/OIL</t>
  </si>
  <si>
    <t>CONDENSATE</t>
  </si>
  <si>
    <t>EMULSION</t>
  </si>
  <si>
    <t>WATER</t>
  </si>
  <si>
    <t>OIL</t>
  </si>
  <si>
    <t>SERVICE MEDIUM, LIQ/GAS/STEAM/AIR</t>
  </si>
  <si>
    <t>LIQUID</t>
  </si>
  <si>
    <t>GAS</t>
  </si>
  <si>
    <t>STEAM</t>
  </si>
  <si>
    <t>AIR</t>
  </si>
  <si>
    <t>SINGLE OR DOUBLE WALL</t>
  </si>
  <si>
    <t>SINGLE</t>
  </si>
  <si>
    <t>DOUBLE</t>
  </si>
  <si>
    <t>SKID MOUNT</t>
  </si>
  <si>
    <t>SUBJECT TO INTEGRITY TEST</t>
  </si>
  <si>
    <t>THIEF HATCH</t>
  </si>
  <si>
    <t>VACUUM RELIEF VALVE</t>
  </si>
  <si>
    <t>WALL THINKNESS UOM</t>
  </si>
  <si>
    <t>IN</t>
  </si>
  <si>
    <t>MM</t>
  </si>
  <si>
    <t>TANK BOTTOM VISIBLE</t>
  </si>
  <si>
    <t>SWEET</t>
  </si>
  <si>
    <t>SOUR</t>
  </si>
  <si>
    <t>ENGINE</t>
  </si>
  <si>
    <t>PNEUMATIC</t>
  </si>
  <si>
    <t>ELECTRONIC</t>
  </si>
  <si>
    <t>115 / 230</t>
  </si>
  <si>
    <t>115 / 208 / 230</t>
  </si>
  <si>
    <t>230 / 460</t>
  </si>
  <si>
    <t>208 / 230 / 460</t>
  </si>
  <si>
    <t>600</t>
  </si>
  <si>
    <t>4160</t>
  </si>
  <si>
    <t>HYDRAULIC</t>
  </si>
  <si>
    <t>MECHANICAL</t>
  </si>
  <si>
    <t>OTHER</t>
  </si>
  <si>
    <t>ANODES</t>
  </si>
  <si>
    <t>Stress Relieved</t>
  </si>
  <si>
    <t>PARTIAL</t>
  </si>
  <si>
    <t>PORTABLE_PERMANENT</t>
  </si>
  <si>
    <t>HVAC</t>
  </si>
  <si>
    <t>Important Information and Links</t>
  </si>
  <si>
    <t>WCG M&amp;R Functional Location Standard</t>
  </si>
  <si>
    <t>WCG M&amp;R Equipment Standard</t>
  </si>
  <si>
    <t>WCG M&amp;R Manufacturer Standard</t>
  </si>
  <si>
    <t>yellow cells indicate a required field</t>
  </si>
  <si>
    <t>blue cells indicate an optional (but preferred) static data field</t>
  </si>
  <si>
    <t>orange cells indicate an optional (but preferred) characteristic field</t>
  </si>
  <si>
    <t>grey cells indicate an 'only if available' field</t>
  </si>
  <si>
    <t>SAP (Back Page) Data</t>
  </si>
  <si>
    <t>Equipment Number:</t>
  </si>
  <si>
    <t>Equipment Technical ID:</t>
  </si>
  <si>
    <t>Description</t>
  </si>
  <si>
    <t>Data Type</t>
  </si>
  <si>
    <t>Nbr of Char</t>
  </si>
  <si>
    <t>Decimal Places</t>
  </si>
  <si>
    <t>Units</t>
  </si>
  <si>
    <t>CHAR</t>
  </si>
  <si>
    <t>DELETE COLUMN FOR LOAD
for class type</t>
  </si>
  <si>
    <t>DELETE COLUMN FOR LOAD
sheet name</t>
  </si>
  <si>
    <t>DELETE COLUMN FOR LOAD
TPPE Level</t>
  </si>
  <si>
    <t>DELETE COLUMN FOR LOAD
data populated 
Y/N</t>
  </si>
  <si>
    <t>DELETE COLUMN FOR LOAD
CHECK TO ENSURE DESCRIPTION BELOW 40 CHARACTERS</t>
  </si>
  <si>
    <t>DELETE COLUMN FOR LOAD
determine suffix for mtce plant as per company code</t>
  </si>
  <si>
    <t>DELETE COLUMN FOR LOAD
determine functional location</t>
  </si>
  <si>
    <t>DELETE COLUMN FOR LOAD
determine superior equipment</t>
  </si>
  <si>
    <t>Date valid from
RM63E-DATSL</t>
  </si>
  <si>
    <t>Description of technical object
ITOB-SHTXT</t>
  </si>
  <si>
    <t>Maintenance plant
ITOB-SWERK</t>
  </si>
  <si>
    <t>Functional Location
IEQINSTALL-TPLNR</t>
  </si>
  <si>
    <t>Superordinate Equipment
IEQINSTALL-HEQNR</t>
  </si>
  <si>
    <t>Technical identification number
ITOB-TIDNR</t>
  </si>
  <si>
    <t>Technical object authorization group
ITOB-BEGRU</t>
  </si>
  <si>
    <t>Weight of object
ITOB-BRGEW</t>
  </si>
  <si>
    <t>Unit of weight
ITOB-GEWEI</t>
  </si>
  <si>
    <t>Size/dimension
ITOB-GROES</t>
  </si>
  <si>
    <t>Start-up Date of the Technical Object
ITOB-INBDT</t>
  </si>
  <si>
    <t>Type of Technical Object
ITOB-EQART</t>
  </si>
  <si>
    <t>Acquisition Value
ITOB-ANSWT</t>
  </si>
  <si>
    <t>Currency Key
ITOB-WAERS</t>
  </si>
  <si>
    <t>Acquisition date
ITOB-ANSDT</t>
  </si>
  <si>
    <t>Manufacturer of asset
ITOB-HERST</t>
  </si>
  <si>
    <t>Manufacturer model number
ITOB-TYPBZ</t>
  </si>
  <si>
    <t>Manufacturer part number
ITOB-MAPAR</t>
  </si>
  <si>
    <t>Manufacturer serial number
ITOB-SERGE</t>
  </si>
  <si>
    <t>Location of maintenance object
ITOB-STORT</t>
  </si>
  <si>
    <t>Room
ITOB-MSGRP</t>
  </si>
  <si>
    <t>Plant section
ITOB-BEBER</t>
  </si>
  <si>
    <t>Work center
ITOBATTR-ARBPL</t>
  </si>
  <si>
    <t>ABC indicator for technical object
ITOB-ABCKZ</t>
  </si>
  <si>
    <t>Sort field
ITOB-EQFNR</t>
  </si>
  <si>
    <t>Cost Center
ITOB-KOSTL</t>
  </si>
  <si>
    <t>Planner Group for Customer Service and Plant Maintenance
ITOB-INGRP</t>
  </si>
  <si>
    <t>Main work center for maintenance tasks
ITOBATTR-GEWRK</t>
  </si>
  <si>
    <t>Catalog Profile
ITOB-RBNR</t>
  </si>
  <si>
    <t>LORI</t>
  </si>
  <si>
    <t>R101</t>
  </si>
  <si>
    <t>/</t>
  </si>
  <si>
    <t>GP</t>
  </si>
  <si>
    <t>N</t>
  </si>
  <si>
    <t>NEW SORT FIELD</t>
  </si>
  <si>
    <t>ZM0055</t>
  </si>
  <si>
    <t>M02</t>
  </si>
  <si>
    <t>R1CM</t>
  </si>
  <si>
    <t>Object Type Value</t>
  </si>
  <si>
    <t>Catalog Profile</t>
  </si>
  <si>
    <t>Main WorkCtr</t>
  </si>
  <si>
    <t>0101</t>
  </si>
  <si>
    <t>SER</t>
  </si>
  <si>
    <t>Hvac Unit</t>
  </si>
  <si>
    <t>0502</t>
  </si>
  <si>
    <t>MEC</t>
  </si>
  <si>
    <t>Blower</t>
  </si>
  <si>
    <t>0503</t>
  </si>
  <si>
    <t>ELE</t>
  </si>
  <si>
    <t>Fan</t>
  </si>
  <si>
    <t>0602</t>
  </si>
  <si>
    <t>Flarestack</t>
  </si>
  <si>
    <t>0603</t>
  </si>
  <si>
    <t>INP</t>
  </si>
  <si>
    <t>Vent Stack</t>
  </si>
  <si>
    <t>0651</t>
  </si>
  <si>
    <t>CRE</t>
  </si>
  <si>
    <t>Helicopter Pad</t>
  </si>
  <si>
    <t>0701</t>
  </si>
  <si>
    <t>INS</t>
  </si>
  <si>
    <t>Boiler</t>
  </si>
  <si>
    <t>0802</t>
  </si>
  <si>
    <t>Ground</t>
  </si>
  <si>
    <t>0805</t>
  </si>
  <si>
    <t>0801</t>
  </si>
  <si>
    <t>Pond &amp; Lagoon</t>
  </si>
  <si>
    <t>0811</t>
  </si>
  <si>
    <t>Substation</t>
  </si>
  <si>
    <t>0901</t>
  </si>
  <si>
    <t>RIG</t>
  </si>
  <si>
    <t>Wellbore</t>
  </si>
  <si>
    <t>0902</t>
  </si>
  <si>
    <t>Stuffing Box</t>
  </si>
  <si>
    <t>0903</t>
  </si>
  <si>
    <t>Wellhead</t>
  </si>
  <si>
    <t>0904</t>
  </si>
  <si>
    <t>Pumpjack</t>
  </si>
  <si>
    <t>0905</t>
  </si>
  <si>
    <t>Gas Lift</t>
  </si>
  <si>
    <t>0906</t>
  </si>
  <si>
    <t>Hyd Unit</t>
  </si>
  <si>
    <t>0907</t>
  </si>
  <si>
    <t>Plunger Lift</t>
  </si>
  <si>
    <t>0908</t>
  </si>
  <si>
    <t>PC Drive</t>
  </si>
  <si>
    <t>0909</t>
  </si>
  <si>
    <t>Submersible Pump</t>
  </si>
  <si>
    <t>1004</t>
  </si>
  <si>
    <t>Building</t>
  </si>
  <si>
    <t>1102</t>
  </si>
  <si>
    <t>Docks</t>
  </si>
  <si>
    <t>1210</t>
  </si>
  <si>
    <t>Blow Case</t>
  </si>
  <si>
    <t>1601</t>
  </si>
  <si>
    <t>Compressor Cent</t>
  </si>
  <si>
    <t>1602</t>
  </si>
  <si>
    <t>Compressor Recip</t>
  </si>
  <si>
    <t>1603</t>
  </si>
  <si>
    <t>Compressor Rotary</t>
  </si>
  <si>
    <t>1604</t>
  </si>
  <si>
    <t>Compressor Axial</t>
  </si>
  <si>
    <t>1902</t>
  </si>
  <si>
    <t>Crane</t>
  </si>
  <si>
    <t>1908</t>
  </si>
  <si>
    <t>Hoist</t>
  </si>
  <si>
    <t>1910</t>
  </si>
  <si>
    <t>Trolley</t>
  </si>
  <si>
    <t>2702</t>
  </si>
  <si>
    <t>Starter</t>
  </si>
  <si>
    <t>2810</t>
  </si>
  <si>
    <t>MCC</t>
  </si>
  <si>
    <t>2812</t>
  </si>
  <si>
    <t>Capacitor</t>
  </si>
  <si>
    <t>2814</t>
  </si>
  <si>
    <t>Panel Control</t>
  </si>
  <si>
    <t>2823</t>
  </si>
  <si>
    <t>Rectifier</t>
  </si>
  <si>
    <t>2828</t>
  </si>
  <si>
    <t>Switch Transfer</t>
  </si>
  <si>
    <t>2831</t>
  </si>
  <si>
    <t>Transformer</t>
  </si>
  <si>
    <t>2832</t>
  </si>
  <si>
    <t>Variable Speed Drive</t>
  </si>
  <si>
    <t>2840</t>
  </si>
  <si>
    <t>Battery Charger</t>
  </si>
  <si>
    <t>2841</t>
  </si>
  <si>
    <t>UPS</t>
  </si>
  <si>
    <t>2903</t>
  </si>
  <si>
    <t>Heater Electric</t>
  </si>
  <si>
    <t>3003</t>
  </si>
  <si>
    <t>Motor AC</t>
  </si>
  <si>
    <t>3004</t>
  </si>
  <si>
    <t>Motor DC</t>
  </si>
  <si>
    <t>3005</t>
  </si>
  <si>
    <t>Motor Synchronous</t>
  </si>
  <si>
    <t>3101</t>
  </si>
  <si>
    <t>Generator Elec</t>
  </si>
  <si>
    <t>3105</t>
  </si>
  <si>
    <t>Generator Solar</t>
  </si>
  <si>
    <t>3106</t>
  </si>
  <si>
    <t>Generator T-E</t>
  </si>
  <si>
    <t>3202</t>
  </si>
  <si>
    <t>Engine</t>
  </si>
  <si>
    <t>3603</t>
  </si>
  <si>
    <t>Heater Fired</t>
  </si>
  <si>
    <t>3604</t>
  </si>
  <si>
    <t>Incinerator</t>
  </si>
  <si>
    <t>4003</t>
  </si>
  <si>
    <t>Flow Mtr Coriolis</t>
  </si>
  <si>
    <t>4006</t>
  </si>
  <si>
    <t>Flow Mtr Turbine</t>
  </si>
  <si>
    <t>4007</t>
  </si>
  <si>
    <t>Flow Mtr Ultrasonic</t>
  </si>
  <si>
    <t>4008</t>
  </si>
  <si>
    <t>Flow Mtr Venturi</t>
  </si>
  <si>
    <t>4009</t>
  </si>
  <si>
    <t>Flow Mtr PD</t>
  </si>
  <si>
    <t>4010</t>
  </si>
  <si>
    <t>Meter Prover</t>
  </si>
  <si>
    <t>4015</t>
  </si>
  <si>
    <t>Acct Mtr Pkg</t>
  </si>
  <si>
    <t>4016</t>
  </si>
  <si>
    <t>Ref Mtr Pkg</t>
  </si>
  <si>
    <t>4017</t>
  </si>
  <si>
    <t>Meter Run Senior</t>
  </si>
  <si>
    <t>4018</t>
  </si>
  <si>
    <t>Meter Run Junior</t>
  </si>
  <si>
    <t>4102</t>
  </si>
  <si>
    <t>Exchanger Plate</t>
  </si>
  <si>
    <t>4103</t>
  </si>
  <si>
    <t>Exchanger S&amp;T</t>
  </si>
  <si>
    <t>4107</t>
  </si>
  <si>
    <t>Reboiler</t>
  </si>
  <si>
    <t>4117</t>
  </si>
  <si>
    <t>Cooler</t>
  </si>
  <si>
    <t>4120</t>
  </si>
  <si>
    <t>Exchanger Air Cooled</t>
  </si>
  <si>
    <t>4301</t>
  </si>
  <si>
    <t>Controller</t>
  </si>
  <si>
    <t>4302</t>
  </si>
  <si>
    <t>Control Valve</t>
  </si>
  <si>
    <t>4303</t>
  </si>
  <si>
    <t>Alarms SDs</t>
  </si>
  <si>
    <t>4304</t>
  </si>
  <si>
    <t>Analyzer</t>
  </si>
  <si>
    <t>Analyzer Chromatograph</t>
  </si>
  <si>
    <t>4305</t>
  </si>
  <si>
    <t>Transmitter</t>
  </si>
  <si>
    <t>4306</t>
  </si>
  <si>
    <t>Inst Switch</t>
  </si>
  <si>
    <t>4307</t>
  </si>
  <si>
    <t>DCS</t>
  </si>
  <si>
    <t>4308</t>
  </si>
  <si>
    <t>PLC</t>
  </si>
  <si>
    <t>4316</t>
  </si>
  <si>
    <t>Recorder</t>
  </si>
  <si>
    <t>4320</t>
  </si>
  <si>
    <t>SCADA</t>
  </si>
  <si>
    <t>4905</t>
  </si>
  <si>
    <t>TEC</t>
  </si>
  <si>
    <t>Lab/Test Equip</t>
  </si>
  <si>
    <t>4928</t>
  </si>
  <si>
    <t>Sample Point</t>
  </si>
  <si>
    <t>5902</t>
  </si>
  <si>
    <t>Lighting Emerg</t>
  </si>
  <si>
    <t>5903</t>
  </si>
  <si>
    <t>Strobe Warning</t>
  </si>
  <si>
    <t>6014</t>
  </si>
  <si>
    <t>Probe Corrosion</t>
  </si>
  <si>
    <t>6023</t>
  </si>
  <si>
    <t>Pig Trap</t>
  </si>
  <si>
    <t>Pigging Valve</t>
  </si>
  <si>
    <t>6304</t>
  </si>
  <si>
    <t>Gearbox Var Spd</t>
  </si>
  <si>
    <t>6702</t>
  </si>
  <si>
    <t>Pump Cent</t>
  </si>
  <si>
    <t>6703</t>
  </si>
  <si>
    <t>Pump Recip</t>
  </si>
  <si>
    <t>6704</t>
  </si>
  <si>
    <t>Pump Rotary</t>
  </si>
  <si>
    <t>6803</t>
  </si>
  <si>
    <t>Cylinder Comp</t>
  </si>
  <si>
    <t>7506</t>
  </si>
  <si>
    <t>SAF</t>
  </si>
  <si>
    <t>Eye Wash Stn</t>
  </si>
  <si>
    <t>7507</t>
  </si>
  <si>
    <t>First Aid Kit</t>
  </si>
  <si>
    <t>7514</t>
  </si>
  <si>
    <t>Fire Alarm Sys</t>
  </si>
  <si>
    <t>7518</t>
  </si>
  <si>
    <t>Fire Extnguisher</t>
  </si>
  <si>
    <t>7522</t>
  </si>
  <si>
    <t>Flame Arrester</t>
  </si>
  <si>
    <t>7535</t>
  </si>
  <si>
    <t>SCBA</t>
  </si>
  <si>
    <t>7538</t>
  </si>
  <si>
    <t>Pers Monitor</t>
  </si>
  <si>
    <t>7539</t>
  </si>
  <si>
    <t>Defibulator</t>
  </si>
  <si>
    <t>7540</t>
  </si>
  <si>
    <t>Air Monitor Stn</t>
  </si>
  <si>
    <t>7541</t>
  </si>
  <si>
    <t>SABA</t>
  </si>
  <si>
    <t>7599</t>
  </si>
  <si>
    <t>Misc Safety Eq</t>
  </si>
  <si>
    <t>7703</t>
  </si>
  <si>
    <t>Welding Machine</t>
  </si>
  <si>
    <t>7726</t>
  </si>
  <si>
    <t>Portable Equip</t>
  </si>
  <si>
    <t>8008</t>
  </si>
  <si>
    <t>Radio Equipment</t>
  </si>
  <si>
    <t>8012</t>
  </si>
  <si>
    <t>AutoCallout Sys</t>
  </si>
  <si>
    <t>8401</t>
  </si>
  <si>
    <t>Turbine Gas</t>
  </si>
  <si>
    <t>8402</t>
  </si>
  <si>
    <t>Turbine Steam</t>
  </si>
  <si>
    <t>8403</t>
  </si>
  <si>
    <t>Turbine Hyd</t>
  </si>
  <si>
    <t>8601</t>
  </si>
  <si>
    <t>Expander Centr</t>
  </si>
  <si>
    <t>8713</t>
  </si>
  <si>
    <t>Valve Prc Block</t>
  </si>
  <si>
    <t>9104</t>
  </si>
  <si>
    <t>Valve Motor Opr</t>
  </si>
  <si>
    <t>9403</t>
  </si>
  <si>
    <t>Mobile Equip Forklift Truck</t>
  </si>
  <si>
    <t>Mobile Equip Manlift</t>
  </si>
  <si>
    <t>Mobile Equip Tractor</t>
  </si>
  <si>
    <t>Mobile Equip Loader</t>
  </si>
  <si>
    <t>Mobile Equip Backhoe</t>
  </si>
  <si>
    <t>Mobile Equip RTV</t>
  </si>
  <si>
    <t>9501</t>
  </si>
  <si>
    <t>Tank AST</t>
  </si>
  <si>
    <t>Tank CST</t>
  </si>
  <si>
    <t>Tank UST</t>
  </si>
  <si>
    <t>9504</t>
  </si>
  <si>
    <t>Scrubber</t>
  </si>
  <si>
    <t>9505</t>
  </si>
  <si>
    <t>Tower</t>
  </si>
  <si>
    <t>9509</t>
  </si>
  <si>
    <t>Sphere</t>
  </si>
  <si>
    <t>9510</t>
  </si>
  <si>
    <t>Absorber</t>
  </si>
  <si>
    <t>9511</t>
  </si>
  <si>
    <t>Accumulator</t>
  </si>
  <si>
    <t>9512</t>
  </si>
  <si>
    <t>Vessel Contactor</t>
  </si>
  <si>
    <t>9513</t>
  </si>
  <si>
    <t>Cyclone</t>
  </si>
  <si>
    <t>9517</t>
  </si>
  <si>
    <t>Vessel</t>
  </si>
  <si>
    <t>Vessel Air Volume</t>
  </si>
  <si>
    <t>Vessel Coalescer</t>
  </si>
  <si>
    <t>Vessel Treater</t>
  </si>
  <si>
    <t>9524</t>
  </si>
  <si>
    <t>Pulsation Dampener</t>
  </si>
  <si>
    <t>9526</t>
  </si>
  <si>
    <t>Separator</t>
  </si>
  <si>
    <t>9527</t>
  </si>
  <si>
    <t>Vessel Filter</t>
  </si>
  <si>
    <t>9528</t>
  </si>
  <si>
    <t>Air Dryer</t>
  </si>
  <si>
    <t>9530</t>
  </si>
  <si>
    <t>Compr Bottle</t>
  </si>
  <si>
    <t>9535</t>
  </si>
  <si>
    <t>Bullet</t>
  </si>
  <si>
    <t>9536</t>
  </si>
  <si>
    <t>Drum</t>
  </si>
  <si>
    <t>9702</t>
  </si>
  <si>
    <t>Separator Pkg</t>
  </si>
  <si>
    <t>9703</t>
  </si>
  <si>
    <t>Dehy Pkg</t>
  </si>
  <si>
    <t>9704</t>
  </si>
  <si>
    <t>Sweetening Pkg</t>
  </si>
  <si>
    <t>9705</t>
  </si>
  <si>
    <t>Tank Pkg</t>
  </si>
  <si>
    <t>9706</t>
  </si>
  <si>
    <t>Pump Pkg</t>
  </si>
  <si>
    <t>9707</t>
  </si>
  <si>
    <t>Compressor Pkg</t>
  </si>
  <si>
    <t>9708</t>
  </si>
  <si>
    <t>Generator Pkg</t>
  </si>
  <si>
    <t>9709</t>
  </si>
  <si>
    <t>VRU Pkg</t>
  </si>
  <si>
    <t>0806</t>
  </si>
  <si>
    <t>Road</t>
  </si>
  <si>
    <t>2808</t>
  </si>
  <si>
    <t>Circuit Breaker</t>
  </si>
  <si>
    <t>2809</t>
  </si>
  <si>
    <t>Switchgear</t>
  </si>
  <si>
    <t>2813</t>
  </si>
  <si>
    <t>Panel Distribution</t>
  </si>
  <si>
    <t>2815</t>
  </si>
  <si>
    <t>Cathodic Protection</t>
  </si>
  <si>
    <t>2827</t>
  </si>
  <si>
    <t>Disconnect Switch</t>
  </si>
  <si>
    <t>2904</t>
  </si>
  <si>
    <t>Electric Heat Trace</t>
  </si>
  <si>
    <t>3104</t>
  </si>
  <si>
    <t>Generator Wind</t>
  </si>
  <si>
    <t>3140</t>
  </si>
  <si>
    <t>Battery</t>
  </si>
  <si>
    <t>3601</t>
  </si>
  <si>
    <t>Furnaces</t>
  </si>
  <si>
    <t>4300</t>
  </si>
  <si>
    <t>Primary Element</t>
  </si>
  <si>
    <t>4315</t>
  </si>
  <si>
    <t>Indicator</t>
  </si>
  <si>
    <t>4318</t>
  </si>
  <si>
    <t>Solenoid Valve</t>
  </si>
  <si>
    <t>4319</t>
  </si>
  <si>
    <t>Ignitor</t>
  </si>
  <si>
    <t>6011</t>
  </si>
  <si>
    <t>Pipelines</t>
  </si>
  <si>
    <t>6026</t>
  </si>
  <si>
    <t>Mixer Static</t>
  </si>
  <si>
    <t>6033</t>
  </si>
  <si>
    <t>SUP</t>
  </si>
  <si>
    <t>Trap SteamMoist</t>
  </si>
  <si>
    <t>6039</t>
  </si>
  <si>
    <t>Piping Circuit</t>
  </si>
  <si>
    <t>7520</t>
  </si>
  <si>
    <t>Fire Hydrant</t>
  </si>
  <si>
    <t>7527</t>
  </si>
  <si>
    <t>Fire Monitor</t>
  </si>
  <si>
    <t>7528</t>
  </si>
  <si>
    <t>Sprinkler Sys</t>
  </si>
  <si>
    <t>9301</t>
  </si>
  <si>
    <t>Relief Valve</t>
  </si>
  <si>
    <t>9538</t>
  </si>
  <si>
    <t>Eductor</t>
  </si>
  <si>
    <t>ca_1004</t>
  </si>
  <si>
    <t>ca_1210</t>
  </si>
  <si>
    <t>ca_1601</t>
  </si>
  <si>
    <t>ca_1602</t>
  </si>
  <si>
    <t>ca_1603</t>
  </si>
  <si>
    <t>ca_2814</t>
  </si>
  <si>
    <t>ca_3003</t>
  </si>
  <si>
    <t>ca_3101</t>
  </si>
  <si>
    <t>ca_3202</t>
  </si>
  <si>
    <t>ca_4006</t>
  </si>
  <si>
    <t>ca_4007</t>
  </si>
  <si>
    <t>ca_4008</t>
  </si>
  <si>
    <t>ca_4009</t>
  </si>
  <si>
    <t>ca_4015</t>
  </si>
  <si>
    <t>ca_4017</t>
  </si>
  <si>
    <t>ca_4018</t>
  </si>
  <si>
    <t>ca_4117</t>
  </si>
  <si>
    <t>ca_4120</t>
  </si>
  <si>
    <t>ca_4305</t>
  </si>
  <si>
    <t>ca_4316</t>
  </si>
  <si>
    <t>ca_6803</t>
  </si>
  <si>
    <t>ca_8401</t>
  </si>
  <si>
    <t>ca_9504</t>
  </si>
  <si>
    <t>ca_9517</t>
  </si>
  <si>
    <t>ca_9526</t>
  </si>
  <si>
    <t>ca_9527</t>
  </si>
  <si>
    <t>ca_9530</t>
  </si>
  <si>
    <t>ca_9707</t>
  </si>
  <si>
    <t>HOME</t>
  </si>
  <si>
    <t>9707 Compr Pkg</t>
  </si>
  <si>
    <t>ca_3003_cooler</t>
  </si>
  <si>
    <t>WCG M&amp;R User Status Standard</t>
  </si>
  <si>
    <t>Has the unit been isolated from the process?</t>
  </si>
  <si>
    <t>Method of Isolation: Double Block and Bleed?</t>
  </si>
  <si>
    <t>Method of Isolation: Blinded?</t>
  </si>
  <si>
    <t>Has the unit been disconnected from the process?
Ie: Spool Piece Removed</t>
  </si>
  <si>
    <t>How was the unit preserved?
Compression as per MOC 24014 Technical Bulletin 2009-05 Compressor Preservation</t>
  </si>
  <si>
    <t>How was the unit preserved?
Has A&amp;OI Specialist provided preservation support for vessels and other equipment</t>
  </si>
  <si>
    <t>How was the unit preserved?
Additional comments/Free Text</t>
  </si>
  <si>
    <t>Component</t>
  </si>
  <si>
    <t>OPERATION TYPE</t>
  </si>
  <si>
    <t>SAFETY FACTOR</t>
  </si>
  <si>
    <t>ACTUATOR MAKE</t>
  </si>
  <si>
    <t>ACTUATOR SUPPLY TYPE</t>
  </si>
  <si>
    <t>ANSI RATING</t>
  </si>
  <si>
    <t>PNEUMATIC/ ELECTRIC</t>
  </si>
  <si>
    <t>PORT DIAMETER</t>
  </si>
  <si>
    <t>SIZE</t>
  </si>
  <si>
    <t>Style</t>
  </si>
  <si>
    <t>CA_8402</t>
  </si>
  <si>
    <t>CA_4016</t>
  </si>
  <si>
    <t>CA_2832</t>
  </si>
  <si>
    <t>CA_1902</t>
  </si>
  <si>
    <t>CA_1908</t>
  </si>
  <si>
    <t>CA_1910</t>
  </si>
  <si>
    <t>CA_2841</t>
  </si>
  <si>
    <t>CA_2903</t>
  </si>
  <si>
    <t>CA_9104</t>
  </si>
  <si>
    <t>CA_6304</t>
  </si>
  <si>
    <t>YES_NO</t>
  </si>
  <si>
    <t>in (Seam to Seam)</t>
  </si>
  <si>
    <t>9517_Vessel Coalescr</t>
  </si>
  <si>
    <t>MAWP Tube (kPa)</t>
  </si>
  <si>
    <t>MAWT Tube</t>
  </si>
  <si>
    <t>Tube MDMT, C</t>
  </si>
  <si>
    <t>CA_4102</t>
  </si>
  <si>
    <t>8402 Turbine Steam</t>
  </si>
  <si>
    <t>4016 Ref Mtr Pkg</t>
  </si>
  <si>
    <t>2832 Variable Speed Drive</t>
  </si>
  <si>
    <t>1902 Crane</t>
  </si>
  <si>
    <t>1908 Hoist</t>
  </si>
  <si>
    <t>1910 Trolley</t>
  </si>
  <si>
    <t>2841 UPS</t>
  </si>
  <si>
    <t>2903 Heater Electric</t>
  </si>
  <si>
    <t>9104 Valve Motor Opr</t>
  </si>
  <si>
    <t>6304 Gearbox</t>
  </si>
  <si>
    <t>Service Medium, liq/gas/steam/air</t>
  </si>
  <si>
    <t>SERV-In Production, Active</t>
  </si>
  <si>
    <t>INAC-Suspended, Shut-in</t>
  </si>
  <si>
    <t>ABIP-Abandoned</t>
  </si>
  <si>
    <t>SURP-Surplus</t>
  </si>
  <si>
    <t>4018 Meter Run Junior</t>
  </si>
  <si>
    <t>Data Complete Yes/No</t>
  </si>
  <si>
    <t>auto-populated cell, do not type</t>
  </si>
  <si>
    <t>No</t>
  </si>
  <si>
    <t>Data Collected By</t>
  </si>
  <si>
    <t>Data Collected On</t>
  </si>
  <si>
    <t>Home Pkg Page</t>
  </si>
  <si>
    <t>CBK_Surplus</t>
  </si>
  <si>
    <t>4304 Analyzer LEL</t>
  </si>
  <si>
    <t>4304 Analyzer H2S</t>
  </si>
  <si>
    <t>4304 Analyzer FIRE EYE</t>
  </si>
  <si>
    <t>4304 Analyzer O2</t>
  </si>
  <si>
    <t>4304 Analyzer CO2</t>
  </si>
  <si>
    <t>Stand-Alone Equipment</t>
  </si>
  <si>
    <t>If you have additional equipment to add but this template does not allow it, first refer to the WCG M&amp;R Type Process Package Standard TPPE link above, and ensure that you are following the SAP Structure Standard.  
Once confirmed you have additional equipment (for example, more than one meter) please use the Standalone Templates found at the link above titled Stand-Alone Equippment and populate the appropriate template(s).  Ensure to save and send the files together with similar names with comments in both files that they belong together.</t>
  </si>
  <si>
    <t>WCG M&amp;R Type Process Package Standard (TPPE)</t>
  </si>
  <si>
    <t>Start Here:</t>
  </si>
  <si>
    <t>Additional Questions or Concerns should be directed to:</t>
  </si>
  <si>
    <t>Local M&amp;R Analyst</t>
  </si>
  <si>
    <t>Lori Doerksen</t>
  </si>
  <si>
    <t>Marlow Watts</t>
  </si>
  <si>
    <t>Colour Code Legend:</t>
  </si>
  <si>
    <t>How to Use Template</t>
  </si>
  <si>
    <t>ca_4304_LEL</t>
  </si>
  <si>
    <t>ca_4304_H2S</t>
  </si>
  <si>
    <t>ca_4304_FIRE</t>
  </si>
  <si>
    <t>ca_4304_O2</t>
  </si>
  <si>
    <t>ca_4304_CO2</t>
  </si>
  <si>
    <t>LEL</t>
  </si>
  <si>
    <t>H2S</t>
  </si>
  <si>
    <t>Fire Eye</t>
  </si>
  <si>
    <t>O2</t>
  </si>
  <si>
    <t>CO2</t>
  </si>
  <si>
    <t>Yes</t>
  </si>
  <si>
    <t>100/06-21-048-16W5/00</t>
  </si>
  <si>
    <t>VCCF008230</t>
  </si>
  <si>
    <t>Conoco Phillips 100%</t>
  </si>
  <si>
    <t>Compressor Pkg (K400)</t>
  </si>
  <si>
    <t>Ariel Corporation</t>
  </si>
  <si>
    <t>JGR/2</t>
  </si>
  <si>
    <t>F-6518</t>
  </si>
  <si>
    <t>Engine (Compressor)</t>
  </si>
  <si>
    <t>Altronic III</t>
  </si>
  <si>
    <t>Cooler (K400)</t>
  </si>
  <si>
    <t>Air-X-Changer</t>
  </si>
  <si>
    <t>93AEH</t>
  </si>
  <si>
    <t>G606707</t>
  </si>
  <si>
    <t>F2243.2</t>
  </si>
  <si>
    <t>G607732</t>
  </si>
  <si>
    <t>F1027.2</t>
  </si>
  <si>
    <t>Conoco Philllips 100%</t>
  </si>
  <si>
    <t>AMOT Controls Corp</t>
  </si>
  <si>
    <t>Compressor Control</t>
  </si>
  <si>
    <t>Building (K-400 Compressor)</t>
  </si>
  <si>
    <t>Shelter Compressor</t>
  </si>
  <si>
    <t>Metal</t>
  </si>
  <si>
    <t>Cylinder Comp (Stage  2)</t>
  </si>
  <si>
    <t>Cylinder Comp (Stage1)</t>
  </si>
  <si>
    <t>C16351</t>
  </si>
  <si>
    <t>DA-0244</t>
  </si>
  <si>
    <t>U5561</t>
  </si>
  <si>
    <t>U5560</t>
  </si>
  <si>
    <t>C16352</t>
  </si>
  <si>
    <t>2nd Stage Scrubber</t>
  </si>
  <si>
    <t>1st Stage Scrubber</t>
  </si>
  <si>
    <t>Enerflex Systems</t>
  </si>
  <si>
    <t>A2542760</t>
  </si>
  <si>
    <t>A2542997</t>
  </si>
  <si>
    <t>H6428.2</t>
  </si>
  <si>
    <t>H6429.2</t>
  </si>
  <si>
    <t>18"</t>
  </si>
  <si>
    <t>16"</t>
  </si>
  <si>
    <t>72" S/S</t>
  </si>
  <si>
    <t>66" S/S</t>
  </si>
  <si>
    <t>f/g Scrubber</t>
  </si>
  <si>
    <t>P8007.2</t>
  </si>
  <si>
    <t>6"</t>
  </si>
  <si>
    <t>48"</t>
  </si>
  <si>
    <t>F3521G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</si>
</sst>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00"/>
    <numFmt numFmtId="166" formatCode="[$-409]d\-mmm\-yy;@"/>
  </numFmts>
  <fonts count="21">
    <font>
      <sz val="10"/>
      <name val="Arial"/>
      <family val="0"/>
    </font>
    <font>
      <u val="single"/>
      <sz val="10"/>
      <color indexed="36"/>
      <name val="Arial"/>
      <family val="0"/>
    </font>
    <font>
      <u val="single"/>
      <sz val="10"/>
      <color indexed="12"/>
      <name val="Arial"/>
      <family val="0"/>
    </font>
    <font>
      <b/>
      <sz val="10"/>
      <name val="Tahoma"/>
      <family val="2"/>
    </font>
    <font>
      <b/>
      <sz val="10"/>
      <name val="Arial"/>
      <family val="2"/>
    </font>
    <font>
      <sz val="10"/>
      <name val="Tahoma"/>
      <family val="2"/>
    </font>
    <font>
      <sz val="10"/>
      <color indexed="12"/>
      <name val="Tahoma"/>
      <family val="2"/>
    </font>
    <font>
      <b/>
      <sz val="8"/>
      <name val="Tahoma"/>
      <family val="0"/>
    </font>
    <font>
      <sz val="8"/>
      <name val="Tahoma"/>
      <family val="0"/>
    </font>
    <font>
      <sz val="8"/>
      <name val="Arial"/>
      <family val="0"/>
    </font>
    <font>
      <b/>
      <sz val="12"/>
      <name val="Arial"/>
      <family val="2"/>
    </font>
    <font>
      <b/>
      <sz val="16"/>
      <name val="Arial"/>
      <family val="2"/>
    </font>
    <font>
      <b/>
      <sz val="14"/>
      <name val="Arial"/>
      <family val="2"/>
    </font>
    <font>
      <b/>
      <sz val="8.45"/>
      <name val="Tahoma"/>
      <family val="2"/>
    </font>
    <font>
      <sz val="10"/>
      <color indexed="8"/>
      <name val="Arial"/>
      <family val="0"/>
    </font>
    <font>
      <b/>
      <u val="single"/>
      <sz val="10"/>
      <color indexed="48"/>
      <name val="Tahoma"/>
      <family val="2"/>
    </font>
    <font>
      <b/>
      <u val="single"/>
      <sz val="10"/>
      <color indexed="39"/>
      <name val="Arial"/>
      <family val="0"/>
    </font>
    <font>
      <u val="single"/>
      <sz val="10"/>
      <color indexed="48"/>
      <name val="Arial"/>
      <family val="2"/>
    </font>
    <font>
      <b/>
      <u val="single"/>
      <sz val="12"/>
      <color indexed="48"/>
      <name val="Arial"/>
      <family val="2"/>
    </font>
    <font>
      <b/>
      <u val="single"/>
      <sz val="16"/>
      <color indexed="39"/>
      <name val="Arial"/>
      <family val="2"/>
    </font>
    <font>
      <b/>
      <sz val="8"/>
      <name val="Arial"/>
      <family val="2"/>
    </font>
  </fonts>
  <fills count="8">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s>
  <borders count="17">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medium"/>
      <bottom style="medium"/>
    </border>
    <border>
      <left style="thin"/>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0" fontId="14" fillId="0" borderId="0">
      <alignment/>
      <protection/>
    </xf>
    <xf numFmtId="0" fontId="14"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9" fontId="0" fillId="0" borderId="0" applyFont="0" applyFill="0" applyBorder="0" applyAlignment="0" applyProtection="0"/>
  </cellStyleXfs>
  <cellXfs count="146">
    <xf numFmtId="0" fontId="0" fillId="0" borderId="0" xfId="0" applyAlignment="1">
      <alignment/>
    </xf>
    <xf numFmtId="0" fontId="5" fillId="0" borderId="0" xfId="0" applyFont="1" applyAlignment="1">
      <alignment/>
    </xf>
    <xf numFmtId="0" fontId="5" fillId="2" borderId="1" xfId="26" applyFont="1" applyFill="1" applyBorder="1" applyAlignment="1">
      <alignment horizontal="center"/>
      <protection/>
    </xf>
    <xf numFmtId="0" fontId="5" fillId="3" borderId="1" xfId="26" applyFont="1" applyFill="1" applyBorder="1" applyAlignment="1">
      <alignment horizontal="center"/>
      <protection/>
    </xf>
    <xf numFmtId="0" fontId="5" fillId="4" borderId="1" xfId="26" applyFont="1" applyFill="1" applyBorder="1" applyAlignment="1">
      <alignment horizontal="center"/>
      <protection/>
    </xf>
    <xf numFmtId="0" fontId="5" fillId="0" borderId="1" xfId="26" applyFont="1" applyBorder="1">
      <alignment/>
      <protection/>
    </xf>
    <xf numFmtId="0" fontId="6" fillId="0" borderId="1" xfId="26" applyFont="1" applyBorder="1">
      <alignment/>
      <protection/>
    </xf>
    <xf numFmtId="0" fontId="3" fillId="0" borderId="0" xfId="27" applyFont="1">
      <alignment/>
      <protection/>
    </xf>
    <xf numFmtId="0" fontId="3" fillId="0" borderId="1" xfId="26" applyFont="1" applyBorder="1">
      <alignment/>
      <protection/>
    </xf>
    <xf numFmtId="0" fontId="3" fillId="0" borderId="1" xfId="27" applyFont="1" applyBorder="1">
      <alignment/>
      <protection/>
    </xf>
    <xf numFmtId="0" fontId="3" fillId="0" borderId="2" xfId="26" applyFont="1" applyFill="1" applyBorder="1">
      <alignment/>
      <protection/>
    </xf>
    <xf numFmtId="0" fontId="5" fillId="0" borderId="0" xfId="27" applyFont="1">
      <alignment/>
      <protection/>
    </xf>
    <xf numFmtId="0" fontId="5" fillId="0" borderId="0" xfId="27" applyAlignment="1">
      <alignment horizontal="left"/>
      <protection/>
    </xf>
    <xf numFmtId="0" fontId="5" fillId="0" borderId="0" xfId="27">
      <alignment/>
      <protection/>
    </xf>
    <xf numFmtId="0" fontId="5" fillId="0" borderId="0" xfId="27" applyFont="1" applyFill="1" applyBorder="1">
      <alignment/>
      <protection/>
    </xf>
    <xf numFmtId="0" fontId="5" fillId="0" borderId="0" xfId="27" quotePrefix="1">
      <alignment/>
      <protection/>
    </xf>
    <xf numFmtId="0" fontId="3" fillId="0" borderId="0" xfId="0" applyFont="1" applyAlignment="1">
      <alignment/>
    </xf>
    <xf numFmtId="0" fontId="4" fillId="4" borderId="1" xfId="0" applyFont="1" applyFill="1" applyBorder="1" applyAlignment="1">
      <alignment horizontal="left" vertical="center"/>
    </xf>
    <xf numFmtId="0" fontId="4" fillId="4" borderId="1" xfId="0" applyFont="1" applyFill="1" applyBorder="1" applyAlignment="1">
      <alignment horizontal="center" vertical="center" wrapText="1"/>
    </xf>
    <xf numFmtId="0" fontId="5" fillId="0" borderId="1" xfId="0" applyFont="1" applyFill="1" applyBorder="1" applyAlignment="1">
      <alignment/>
    </xf>
    <xf numFmtId="0" fontId="0" fillId="0" borderId="0" xfId="0" applyFont="1" applyAlignment="1">
      <alignment horizontal="center"/>
    </xf>
    <xf numFmtId="0" fontId="0" fillId="0" borderId="0" xfId="0" applyFont="1" applyAlignment="1">
      <alignment horizontal="right"/>
    </xf>
    <xf numFmtId="49" fontId="10" fillId="0" borderId="0" xfId="0" applyNumberFormat="1" applyFont="1" applyAlignment="1">
      <alignment horizontal="center" vertical="center"/>
    </xf>
    <xf numFmtId="0" fontId="5" fillId="0" borderId="1" xfId="0" applyFont="1" applyBorder="1" applyAlignment="1">
      <alignment/>
    </xf>
    <xf numFmtId="164" fontId="13" fillId="5" borderId="3" xfId="0" applyNumberFormat="1" applyFont="1" applyFill="1" applyBorder="1" applyAlignment="1" applyProtection="1">
      <alignment horizontal="center" vertical="top" wrapText="1"/>
      <protection locked="0"/>
    </xf>
    <xf numFmtId="164" fontId="13" fillId="2" borderId="3" xfId="0" applyNumberFormat="1" applyFont="1" applyFill="1" applyBorder="1" applyAlignment="1" applyProtection="1">
      <alignment horizontal="center" vertical="top" wrapText="1"/>
      <protection locked="0"/>
    </xf>
    <xf numFmtId="49" fontId="13" fillId="2" borderId="3" xfId="0" applyNumberFormat="1" applyFont="1" applyFill="1" applyBorder="1" applyAlignment="1" applyProtection="1">
      <alignment horizontal="center" vertical="top" wrapText="1"/>
      <protection locked="0"/>
    </xf>
    <xf numFmtId="165" fontId="13" fillId="2" borderId="3" xfId="0" applyNumberFormat="1" applyFont="1" applyFill="1" applyBorder="1" applyAlignment="1" applyProtection="1">
      <alignment horizontal="center" vertical="top" wrapText="1"/>
      <protection locked="0"/>
    </xf>
    <xf numFmtId="164" fontId="0" fillId="4" borderId="0" xfId="0" applyNumberFormat="1" applyFill="1" applyBorder="1" applyAlignment="1" applyProtection="1">
      <alignment vertical="top"/>
      <protection/>
    </xf>
    <xf numFmtId="49" fontId="0" fillId="4" borderId="0" xfId="0" applyNumberFormat="1" applyFill="1" applyBorder="1" applyAlignment="1" applyProtection="1">
      <alignment vertical="top"/>
      <protection/>
    </xf>
    <xf numFmtId="0" fontId="3" fillId="4" borderId="0" xfId="21" applyFont="1" applyFill="1" applyBorder="1">
      <alignment/>
      <protection/>
    </xf>
    <xf numFmtId="165" fontId="0" fillId="4" borderId="0" xfId="0" applyNumberFormat="1" applyFill="1" applyBorder="1" applyAlignment="1" applyProtection="1">
      <alignment vertical="top"/>
      <protection/>
    </xf>
    <xf numFmtId="0" fontId="0" fillId="5" borderId="0" xfId="0" applyFill="1" applyAlignment="1">
      <alignment/>
    </xf>
    <xf numFmtId="0" fontId="0" fillId="5" borderId="0" xfId="0" applyFill="1" applyAlignment="1">
      <alignment horizontal="center"/>
    </xf>
    <xf numFmtId="0" fontId="0" fillId="5" borderId="0" xfId="0" applyFill="1" applyAlignment="1" quotePrefix="1">
      <alignment/>
    </xf>
    <xf numFmtId="0" fontId="0" fillId="0" borderId="0" xfId="0" applyAlignment="1" quotePrefix="1">
      <alignment/>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49" fontId="0" fillId="0" borderId="5" xfId="0" applyNumberFormat="1" applyFont="1" applyFill="1" applyBorder="1" applyAlignment="1">
      <alignment horizontal="center"/>
    </xf>
    <xf numFmtId="0" fontId="0" fillId="0" borderId="5" xfId="0" applyFont="1" applyFill="1" applyBorder="1" applyAlignment="1">
      <alignment horizontal="center"/>
    </xf>
    <xf numFmtId="0" fontId="0" fillId="0" borderId="5" xfId="30" applyFont="1" applyFill="1" applyBorder="1" applyAlignment="1">
      <alignment/>
      <protection/>
    </xf>
    <xf numFmtId="49"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30" applyFont="1" applyFill="1" applyBorder="1" applyAlignment="1">
      <alignment/>
      <protection/>
    </xf>
    <xf numFmtId="0" fontId="0" fillId="0" borderId="1" xfId="0" applyFont="1" applyFill="1" applyBorder="1" applyAlignment="1">
      <alignment horizontal="center"/>
    </xf>
    <xf numFmtId="0" fontId="0" fillId="0" borderId="1" xfId="0" applyFont="1" applyFill="1" applyBorder="1" applyAlignment="1" quotePrefix="1">
      <alignment horizontal="center"/>
    </xf>
    <xf numFmtId="0" fontId="0" fillId="0" borderId="1" xfId="22" applyFont="1" applyFill="1" applyBorder="1" applyAlignment="1">
      <alignment horizontal="center"/>
      <protection/>
    </xf>
    <xf numFmtId="0" fontId="0" fillId="0" borderId="1" xfId="22" applyFont="1" applyFill="1" applyBorder="1" applyAlignment="1">
      <alignment/>
      <protection/>
    </xf>
    <xf numFmtId="0" fontId="0" fillId="0" borderId="1" xfId="30" applyFont="1" applyFill="1" applyBorder="1">
      <alignment/>
      <protection/>
    </xf>
    <xf numFmtId="0" fontId="0" fillId="0" borderId="1" xfId="23" applyFont="1" applyFill="1" applyBorder="1" applyAlignment="1">
      <alignment horizontal="center"/>
      <protection/>
    </xf>
    <xf numFmtId="0" fontId="0" fillId="0" borderId="1" xfId="30" applyFont="1" applyFill="1" applyBorder="1" applyAlignment="1">
      <alignment/>
      <protection/>
    </xf>
    <xf numFmtId="0" fontId="0" fillId="0" borderId="1" xfId="22" applyFont="1" applyFill="1" applyBorder="1" applyAlignment="1">
      <alignment horizontal="center"/>
      <protection/>
    </xf>
    <xf numFmtId="49" fontId="0" fillId="0" borderId="1" xfId="0" applyNumberFormat="1" applyFont="1" applyFill="1" applyBorder="1" applyAlignment="1" quotePrefix="1">
      <alignment horizontal="center"/>
    </xf>
    <xf numFmtId="0" fontId="0" fillId="0" borderId="1" xfId="23" applyFont="1" applyFill="1" applyBorder="1" applyAlignment="1">
      <alignment horizontal="center"/>
      <protection/>
    </xf>
    <xf numFmtId="0" fontId="0" fillId="0" borderId="1" xfId="30" applyFont="1" applyFill="1" applyBorder="1" applyAlignment="1">
      <alignment horizontal="left"/>
      <protection/>
    </xf>
    <xf numFmtId="49" fontId="0" fillId="0" borderId="1" xfId="0" applyNumberFormat="1" applyFont="1" applyFill="1" applyBorder="1" applyAlignment="1">
      <alignment horizontal="center"/>
    </xf>
    <xf numFmtId="49" fontId="0" fillId="0" borderId="3" xfId="0" applyNumberFormat="1" applyFont="1" applyFill="1" applyBorder="1" applyAlignment="1">
      <alignment horizontal="center"/>
    </xf>
    <xf numFmtId="0" fontId="0" fillId="0" borderId="3" xfId="0" applyFont="1" applyFill="1" applyBorder="1" applyAlignment="1">
      <alignment horizontal="center"/>
    </xf>
    <xf numFmtId="0" fontId="0" fillId="0" borderId="3" xfId="30" applyFont="1" applyFill="1" applyBorder="1" applyAlignment="1">
      <alignment/>
      <protection/>
    </xf>
    <xf numFmtId="0" fontId="0" fillId="0" borderId="1" xfId="23" applyFont="1" applyFill="1" applyBorder="1" applyAlignment="1" quotePrefix="1">
      <alignment horizontal="center"/>
      <protection/>
    </xf>
    <xf numFmtId="0" fontId="0" fillId="0" borderId="1" xfId="25" applyFont="1" applyFill="1" applyBorder="1" applyAlignment="1">
      <alignment/>
      <protection/>
    </xf>
    <xf numFmtId="49" fontId="0" fillId="6" borderId="1" xfId="0" applyNumberFormat="1" applyFont="1" applyFill="1" applyBorder="1" applyAlignment="1">
      <alignment horizontal="center"/>
    </xf>
    <xf numFmtId="0" fontId="0" fillId="6" borderId="1" xfId="0" applyFont="1" applyFill="1" applyBorder="1" applyAlignment="1" quotePrefix="1">
      <alignment horizontal="center"/>
    </xf>
    <xf numFmtId="0" fontId="0" fillId="6" borderId="1" xfId="0" applyFont="1" applyFill="1" applyBorder="1" applyAlignment="1">
      <alignment horizontal="center"/>
    </xf>
    <xf numFmtId="0" fontId="0" fillId="6" borderId="1" xfId="30" applyFont="1" applyFill="1" applyBorder="1">
      <alignment/>
      <protection/>
    </xf>
    <xf numFmtId="0" fontId="0" fillId="6" borderId="1" xfId="23" applyFont="1" applyFill="1" applyBorder="1" applyAlignment="1">
      <alignment horizontal="center"/>
      <protection/>
    </xf>
    <xf numFmtId="0" fontId="0" fillId="6" borderId="1" xfId="30" applyFont="1" applyFill="1" applyBorder="1" applyAlignment="1">
      <alignment vertical="center"/>
      <protection/>
    </xf>
    <xf numFmtId="0" fontId="0" fillId="6" borderId="1" xfId="30" applyFont="1" applyFill="1" applyBorder="1" applyAlignment="1">
      <alignment/>
      <protection/>
    </xf>
    <xf numFmtId="49" fontId="0" fillId="6" borderId="1" xfId="0" applyNumberFormat="1" applyFont="1" applyFill="1" applyBorder="1" applyAlignment="1">
      <alignment horizontal="center"/>
    </xf>
    <xf numFmtId="0" fontId="15" fillId="0" borderId="1" xfId="20" applyFont="1" applyBorder="1" applyAlignment="1">
      <alignment/>
    </xf>
    <xf numFmtId="0" fontId="3" fillId="0" borderId="1" xfId="0" applyFont="1" applyFill="1" applyBorder="1" applyAlignment="1">
      <alignment horizontal="center" wrapText="1"/>
    </xf>
    <xf numFmtId="0" fontId="3" fillId="0" borderId="1" xfId="0" applyFont="1" applyBorder="1" applyAlignment="1">
      <alignment/>
    </xf>
    <xf numFmtId="0" fontId="5" fillId="3" borderId="1" xfId="0" applyFont="1" applyFill="1" applyBorder="1" applyAlignment="1">
      <alignment horizontal="center"/>
    </xf>
    <xf numFmtId="0" fontId="5" fillId="2" borderId="1"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wrapText="1"/>
    </xf>
    <xf numFmtId="49" fontId="5" fillId="4" borderId="1" xfId="26" applyNumberFormat="1" applyFont="1" applyFill="1" applyBorder="1" applyAlignment="1">
      <alignment horizontal="center"/>
      <protection/>
    </xf>
    <xf numFmtId="0" fontId="0" fillId="7" borderId="0" xfId="0" applyFill="1" applyAlignment="1">
      <alignment/>
    </xf>
    <xf numFmtId="0" fontId="0" fillId="7" borderId="0" xfId="0" applyFill="1" applyAlignment="1">
      <alignment horizontal="center"/>
    </xf>
    <xf numFmtId="0" fontId="0" fillId="7" borderId="0" xfId="0" applyFill="1" applyAlignment="1" quotePrefix="1">
      <alignment/>
    </xf>
    <xf numFmtId="0" fontId="5" fillId="0" borderId="0" xfId="28" applyFont="1">
      <alignment/>
      <protection/>
    </xf>
    <xf numFmtId="0" fontId="5" fillId="7" borderId="0" xfId="28" applyFont="1" applyFill="1">
      <alignment/>
      <protection/>
    </xf>
    <xf numFmtId="0" fontId="5" fillId="0" borderId="0" xfId="29" applyFont="1">
      <alignment/>
      <protection/>
    </xf>
    <xf numFmtId="0" fontId="5" fillId="4" borderId="1" xfId="0" applyFont="1" applyFill="1" applyBorder="1" applyAlignment="1">
      <alignment/>
    </xf>
    <xf numFmtId="0" fontId="5" fillId="7" borderId="1" xfId="0" applyFont="1" applyFill="1" applyBorder="1" applyAlignment="1">
      <alignment/>
    </xf>
    <xf numFmtId="0" fontId="3" fillId="0" borderId="1" xfId="0" applyFont="1" applyBorder="1" applyAlignment="1">
      <alignment horizontal="center"/>
    </xf>
    <xf numFmtId="0" fontId="5" fillId="6" borderId="1" xfId="0" applyFont="1" applyFill="1" applyBorder="1" applyAlignment="1" quotePrefix="1">
      <alignment horizontal="center"/>
    </xf>
    <xf numFmtId="166" fontId="5" fillId="0" borderId="1" xfId="0" applyNumberFormat="1" applyFont="1" applyBorder="1" applyAlignment="1">
      <alignment horizontal="center"/>
    </xf>
    <xf numFmtId="0" fontId="5" fillId="2" borderId="1" xfId="26" applyFont="1" applyFill="1" applyBorder="1" applyAlignment="1" quotePrefix="1">
      <alignment horizontal="center"/>
      <protection/>
    </xf>
    <xf numFmtId="0" fontId="5" fillId="3" borderId="1" xfId="0" applyFont="1" applyFill="1" applyBorder="1" applyAlignment="1" quotePrefix="1">
      <alignment horizontal="center"/>
    </xf>
    <xf numFmtId="0" fontId="5" fillId="2" borderId="1" xfId="0" applyFont="1" applyFill="1" applyBorder="1" applyAlignment="1" quotePrefix="1">
      <alignment horizontal="center"/>
    </xf>
    <xf numFmtId="0" fontId="16" fillId="0" borderId="0" xfId="20" applyFont="1" applyAlignment="1">
      <alignment/>
    </xf>
    <xf numFmtId="0" fontId="4" fillId="0" borderId="0" xfId="0" applyFont="1" applyAlignment="1">
      <alignment/>
    </xf>
    <xf numFmtId="0" fontId="10" fillId="0" borderId="0" xfId="24" applyFont="1">
      <alignment/>
      <protection/>
    </xf>
    <xf numFmtId="0" fontId="0" fillId="0" borderId="0" xfId="0" applyFont="1" applyAlignment="1">
      <alignment/>
    </xf>
    <xf numFmtId="0" fontId="17" fillId="0" borderId="0" xfId="20" applyFont="1" applyAlignment="1">
      <alignment/>
    </xf>
    <xf numFmtId="0" fontId="0" fillId="0" borderId="0" xfId="24" applyFont="1">
      <alignment/>
      <protection/>
    </xf>
    <xf numFmtId="0" fontId="0" fillId="4" borderId="0" xfId="24" applyFont="1" applyFill="1">
      <alignment/>
      <protection/>
    </xf>
    <xf numFmtId="0" fontId="0" fillId="2" borderId="0" xfId="24" applyFont="1" applyFill="1">
      <alignment/>
      <protection/>
    </xf>
    <xf numFmtId="0" fontId="0" fillId="6" borderId="0" xfId="24" applyFont="1" applyFill="1">
      <alignment/>
      <protection/>
    </xf>
    <xf numFmtId="0" fontId="0" fillId="3" borderId="0" xfId="24" applyFont="1" applyFill="1">
      <alignment/>
      <protection/>
    </xf>
    <xf numFmtId="0" fontId="0" fillId="7" borderId="0" xfId="24" applyFont="1" applyFill="1">
      <alignment/>
      <protection/>
    </xf>
    <xf numFmtId="0" fontId="4" fillId="0" borderId="0" xfId="24" applyFont="1">
      <alignment/>
      <protection/>
    </xf>
    <xf numFmtId="0" fontId="18" fillId="0" borderId="0" xfId="20" applyFont="1" applyAlignment="1">
      <alignment/>
    </xf>
    <xf numFmtId="0" fontId="11" fillId="0" borderId="0" xfId="0" applyFont="1" applyAlignment="1">
      <alignment/>
    </xf>
    <xf numFmtId="0" fontId="19" fillId="0" borderId="0" xfId="20" applyFont="1" applyAlignment="1">
      <alignment/>
    </xf>
    <xf numFmtId="0" fontId="5" fillId="6" borderId="1" xfId="0" applyFont="1" applyFill="1" applyBorder="1" applyAlignment="1">
      <alignment horizontal="center"/>
    </xf>
    <xf numFmtId="12" fontId="5" fillId="6" borderId="1" xfId="0" applyNumberFormat="1" applyFont="1" applyFill="1" applyBorder="1" applyAlignment="1" quotePrefix="1">
      <alignment horizontal="center"/>
    </xf>
    <xf numFmtId="3" fontId="5" fillId="6" borderId="1" xfId="0" applyNumberFormat="1" applyFont="1" applyFill="1" applyBorder="1" applyAlignment="1" quotePrefix="1">
      <alignment horizontal="center"/>
    </xf>
    <xf numFmtId="2" fontId="5" fillId="6" borderId="1" xfId="0" applyNumberFormat="1" applyFont="1" applyFill="1" applyBorder="1" applyAlignment="1" quotePrefix="1">
      <alignment horizontal="center"/>
    </xf>
    <xf numFmtId="0" fontId="0" fillId="0" borderId="6" xfId="0" applyFont="1" applyBorder="1" applyAlignment="1">
      <alignment horizontal="lef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0"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3" fillId="0" borderId="1" xfId="0" applyFont="1" applyBorder="1" applyAlignment="1">
      <alignment horizontal="center"/>
    </xf>
    <xf numFmtId="0" fontId="5" fillId="0" borderId="6" xfId="0" applyFont="1" applyBorder="1" applyAlignment="1">
      <alignment horizontal="left" vertical="top" wrapTex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13" xfId="0" applyFont="1" applyBorder="1" applyAlignment="1">
      <alignment horizontal="left" vertical="top"/>
    </xf>
    <xf numFmtId="0" fontId="5" fillId="0" borderId="7" xfId="0" applyFont="1" applyBorder="1" applyAlignment="1">
      <alignment horizontal="left" vertical="top" wrapText="1"/>
    </xf>
    <xf numFmtId="0" fontId="5" fillId="0" borderId="1" xfId="0" applyFont="1" applyBorder="1" applyAlignment="1">
      <alignment horizontal="center" vertical="top"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4" fillId="4" borderId="14" xfId="0" applyFont="1" applyFill="1" applyBorder="1" applyAlignment="1">
      <alignment vertical="center"/>
    </xf>
    <xf numFmtId="0" fontId="3" fillId="0" borderId="16" xfId="0" applyFont="1" applyBorder="1" applyAlignment="1">
      <alignment vertical="center"/>
    </xf>
    <xf numFmtId="0" fontId="4" fillId="4" borderId="14" xfId="0" applyFont="1" applyFill="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11" fillId="4" borderId="14" xfId="0" applyFont="1" applyFill="1" applyBorder="1" applyAlignment="1">
      <alignment vertical="center"/>
    </xf>
    <xf numFmtId="0" fontId="0" fillId="0" borderId="16" xfId="0" applyBorder="1" applyAlignment="1">
      <alignment vertical="center"/>
    </xf>
    <xf numFmtId="0" fontId="10" fillId="4" borderId="14" xfId="0" applyFont="1" applyFill="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12" fillId="4" borderId="14" xfId="0" applyFont="1" applyFill="1" applyBorder="1" applyAlignment="1">
      <alignment horizontal="right" vertical="center"/>
    </xf>
  </cellXfs>
  <cellStyles count="18">
    <cellStyle name="Normal" xfId="0"/>
    <cellStyle name="Comma" xfId="15"/>
    <cellStyle name="Comma [0]" xfId="16"/>
    <cellStyle name="Currency" xfId="17"/>
    <cellStyle name="Currency [0]" xfId="18"/>
    <cellStyle name="Followed Hyperlink" xfId="19"/>
    <cellStyle name="Hyperlink" xfId="20"/>
    <cellStyle name="Normal_0602 Flarestack (FlareVent Pkg)" xfId="21"/>
    <cellStyle name="Normal_5_Equipment Info" xfId="22"/>
    <cellStyle name="Normal_EQ_CATALOG_NOV26" xfId="23"/>
    <cellStyle name="Normal_Info" xfId="24"/>
    <cellStyle name="Normal_Sheet 1" xfId="25"/>
    <cellStyle name="Normal_Sheet1" xfId="26"/>
    <cellStyle name="Normal_Sheet1_1" xfId="27"/>
    <cellStyle name="Normal_WinShuttle Create" xfId="28"/>
    <cellStyle name="Normal_xref" xfId="29"/>
    <cellStyle name="Normal_xref2" xfId="30"/>
    <cellStyle name="Percent" xfId="31"/>
  </cellStyles>
  <colors>
    <indexedColors>
      <rgbColor rgb="00000000"/>
      <rgbColor rgb="00FFFFFF"/>
      <rgbColor rgb="00FF0000"/>
      <rgbColor rgb="0000FF00"/>
      <rgbColor rgb="000000FF"/>
      <rgbColor rgb="00FFFF00"/>
      <rgbColor rgb="00FF00FF"/>
      <rgbColor rgb="0000FFFF"/>
      <rgbColor rgb="00000000"/>
      <rgbColor rgb="00D4D0C8"/>
      <rgbColor rgb="00000000"/>
      <rgbColor rgb="00D4D0C8"/>
      <rgbColor rgb="00000000"/>
      <rgbColor rgb="00FFFFFF"/>
      <rgbColor rgb="00000000"/>
      <rgbColor rgb="00FFFFFF"/>
      <rgbColor rgb="00000000"/>
      <rgbColor rgb="00D4D0C8"/>
      <rgbColor rgb="00000000"/>
      <rgbColor rgb="00D4D0C8"/>
      <rgbColor rgb="0000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styles" Target="styles.xml" /><Relationship Id="rId93" Type="http://schemas.openxmlformats.org/officeDocument/2006/relationships/sharedStrings" Target="sharedStrings.xml" /><Relationship Id="rId9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7.vml" /><Relationship Id="rId3"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 Id="rId3"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9.vml" /><Relationship Id="rId3"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0.vml" /><Relationship Id="rId3"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2.vml" /><Relationship Id="rId3"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3.vml" /><Relationship Id="rId3"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4.vml" /><Relationship Id="rId3" Type="http://schemas.openxmlformats.org/officeDocument/2006/relationships/printerSettings" Target="../printerSettings/printerSettings25.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5.vml" /><Relationship Id="rId3"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6.vml" /><Relationship Id="rId3" Type="http://schemas.openxmlformats.org/officeDocument/2006/relationships/printerSettings" Target="../printerSettings/printerSettings27.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7.vml" /><Relationship Id="rId3"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8.vml" /><Relationship Id="rId3"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9.vml" /><Relationship Id="rId3" Type="http://schemas.openxmlformats.org/officeDocument/2006/relationships/printerSettings" Target="../printerSettings/printerSettings30.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0.vml" /><Relationship Id="rId3" Type="http://schemas.openxmlformats.org/officeDocument/2006/relationships/printerSettings" Target="../printerSettings/printerSettings31.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1.vml" /><Relationship Id="rId3" Type="http://schemas.openxmlformats.org/officeDocument/2006/relationships/printerSettings" Target="../printerSettings/printerSettings32.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2.vml" /><Relationship Id="rId3" Type="http://schemas.openxmlformats.org/officeDocument/2006/relationships/printerSettings" Target="../printerSettings/printerSettings33.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3.vml" /><Relationship Id="rId3" Type="http://schemas.openxmlformats.org/officeDocument/2006/relationships/printerSettings" Target="../printerSettings/printerSettings34.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4.vml" /><Relationship Id="rId3" Type="http://schemas.openxmlformats.org/officeDocument/2006/relationships/printerSettings" Target="../printerSettings/printerSettings35.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35.vml" /><Relationship Id="rId3" Type="http://schemas.openxmlformats.org/officeDocument/2006/relationships/printerSettings" Target="../printerSettings/printerSettings36.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36.vml" /><Relationship Id="rId3" Type="http://schemas.openxmlformats.org/officeDocument/2006/relationships/printerSettings" Target="../printerSettings/printerSettings37.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37.vml" /><Relationship Id="rId3" Type="http://schemas.openxmlformats.org/officeDocument/2006/relationships/printerSettings" Target="../printerSettings/printerSettings38.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38.vml" /><Relationship Id="rId3" Type="http://schemas.openxmlformats.org/officeDocument/2006/relationships/printerSettings" Target="../printerSettings/printerSettings39.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39.vml" /><Relationship Id="rId3" Type="http://schemas.openxmlformats.org/officeDocument/2006/relationships/printerSettings" Target="../printerSettings/printerSettings40.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40.vml" /><Relationship Id="rId3" Type="http://schemas.openxmlformats.org/officeDocument/2006/relationships/printerSettings" Target="../printerSettings/printerSettings41.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41.vml" /><Relationship Id="rId3" Type="http://schemas.openxmlformats.org/officeDocument/2006/relationships/printerSettings" Target="../printerSettings/printerSettings42.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42.vml" /><Relationship Id="rId3" Type="http://schemas.openxmlformats.org/officeDocument/2006/relationships/printerSettings" Target="../printerSettings/printerSettings43.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43.vml" /><Relationship Id="rId3" Type="http://schemas.openxmlformats.org/officeDocument/2006/relationships/printerSettings" Target="../printerSettings/printerSettings44.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4.vml" /><Relationship Id="rId3" Type="http://schemas.openxmlformats.org/officeDocument/2006/relationships/printerSettings" Target="../printerSettings/printerSettings45.bin" /></Relationships>
</file>

<file path=xl/worksheets/_rels/sheet5.xml.rels><?xml version="1.0" encoding="utf-8" standalone="yes"?><Relationships xmlns="http://schemas.openxmlformats.org/package/2006/relationships"><Relationship Id="rId1" Type="http://schemas.openxmlformats.org/officeDocument/2006/relationships/hyperlink" Target="http://sptupcanada.conocophillips.net/sites/opssvcs/MRCOE/Shared%20Documents/Standards/6.%20Master%20Data/WCG%20Standard%20-%20Functional%20Location.doc" TargetMode="External" /><Relationship Id="rId2" Type="http://schemas.openxmlformats.org/officeDocument/2006/relationships/hyperlink" Target="http://sptupcanada.conocophillips.net/sites/opssvcs/MRCOE/Shared%20Documents/Standards/6.%20Master%20Data/WCG%20Standard%20-%20Equipment.doc" TargetMode="External" /><Relationship Id="rId3" Type="http://schemas.openxmlformats.org/officeDocument/2006/relationships/hyperlink" Target="http://sptupcanada.conocophillips.net/sites/opssvcs/MRCOE/Shared%20Documents/Standards/6.%20Master%20Data/WCG%20Standard%20-%20Type_Process_Pkg_Equip.xls" TargetMode="External" /><Relationship Id="rId4" Type="http://schemas.openxmlformats.org/officeDocument/2006/relationships/hyperlink" Target="http://sptupcanada.conocophillips.net/sites/opssvcs/MRCOE/Shared%20Documents/Standards/6.%20Master%20Data/WCG%20Standard%20-%20Manufacturers.xls" TargetMode="External" /><Relationship Id="rId5" Type="http://schemas.openxmlformats.org/officeDocument/2006/relationships/hyperlink" Target="http://sptupcanada.conocophillips.net/sites/opssvcs/MRCOE/Shared%20Documents/Standards/6.%20Master%20Data/WCG%20Standard%20-%20User%20Status%20on%20Functional%20Location%20and%20Equipment%20Records.doc" TargetMode="External" /><Relationship Id="rId6" Type="http://schemas.openxmlformats.org/officeDocument/2006/relationships/hyperlink" Target="http://sptupcanada.conocophillips.net/sites/opssvcs/MRCOE/Shared%20Documents/Resources/Data%20Gathering%20Templates/Pkg%20Masters/!Package%20Masters/!Home%20Page%201.xls" TargetMode="External" /><Relationship Id="rId7" Type="http://schemas.openxmlformats.org/officeDocument/2006/relationships/hyperlink" Target="http://sptupcanada.conocophillips.net/sites/opssvcs/MRCOE/Shared%20Documents/Networking/M%20and%20R%20Team/M%20and%20R%20Organization.doc" TargetMode="External" /><Relationship Id="rId8" Type="http://schemas.openxmlformats.org/officeDocument/2006/relationships/hyperlink" Target="mailto:lori.s.doerksen@conocophillips.com?subject=Data%20Template" TargetMode="External" /><Relationship Id="rId9" Type="http://schemas.openxmlformats.org/officeDocument/2006/relationships/hyperlink" Target="mailto:marlow.a.watts@conocophillips.com?subject=Data%20Template" TargetMode="External" /><Relationship Id="rId10" Type="http://schemas.openxmlformats.org/officeDocument/2006/relationships/hyperlink" Target="http://sptupcanada.conocophillips.net/sites/opssvcs/MRCOE/Shared%20Documents/Resources/Data%20Gathering%20Templates/Pkg%20Masters/WCG%20Standard%20-%20How%20to%20Use%20Data%20Template.doc" TargetMode="External" /><Relationship Id="rId11" Type="http://schemas.openxmlformats.org/officeDocument/2006/relationships/printerSettings" Target="../printerSettings/printerSettings1.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45.vml" /><Relationship Id="rId3" Type="http://schemas.openxmlformats.org/officeDocument/2006/relationships/printerSettings" Target="../printerSettings/printerSettings46.bin" /></Relationships>
</file>

<file path=xl/worksheets/_rels/sheet6.xml.rels><?xml version="1.0" encoding="utf-8" standalone="yes"?><Relationships xmlns="http://schemas.openxmlformats.org/package/2006/relationships"><Relationship Id="rId1" Type="http://schemas.openxmlformats.org/officeDocument/2006/relationships/hyperlink" Target="http://sptupcanada.conocophillips.net/sites/opssvcs/MRCOE/Shared%20Documents/Resources/Data%20Gathering%20Templates/Pkg%20Masters/!Package%20Masters/!Home%20Page%201.xls"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K73"/>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14.00390625" style="0" bestFit="1" customWidth="1"/>
    <col min="2" max="2" width="19.28125" style="0" bestFit="1" customWidth="1"/>
    <col min="3" max="3" width="8.8515625" style="0" bestFit="1" customWidth="1"/>
    <col min="5" max="5" width="8.8515625" style="0" bestFit="1" customWidth="1"/>
    <col min="6" max="6" width="16.57421875" style="0" bestFit="1" customWidth="1"/>
    <col min="7" max="7" width="9.00390625" style="0" bestFit="1" customWidth="1"/>
    <col min="8" max="8" width="32.421875" style="0" bestFit="1" customWidth="1"/>
    <col min="9" max="9" width="10.140625" style="0" bestFit="1" customWidth="1"/>
    <col min="10" max="10" width="22.00390625" style="0" bestFit="1" customWidth="1"/>
    <col min="11" max="11" width="8.57421875" style="0" bestFit="1" customWidth="1"/>
    <col min="12" max="12" width="8.8515625" style="0" bestFit="1" customWidth="1"/>
    <col min="13" max="13" width="32.421875" style="0" bestFit="1" customWidth="1"/>
    <col min="14" max="14" width="13.8515625" style="0" bestFit="1" customWidth="1"/>
    <col min="15" max="16" width="8.7109375" style="0" bestFit="1" customWidth="1"/>
    <col min="17" max="17" width="6.421875" style="0" bestFit="1" customWidth="1"/>
    <col min="19" max="19" width="10.140625" style="0" bestFit="1" customWidth="1"/>
    <col min="20" max="20" width="15.7109375" style="0" bestFit="1" customWidth="1"/>
    <col min="21" max="21" width="8.8515625" style="0" bestFit="1" customWidth="1"/>
    <col min="22" max="22" width="8.28125" style="0" bestFit="1" customWidth="1"/>
    <col min="23" max="23" width="10.140625" style="0" bestFit="1" customWidth="1"/>
    <col min="24" max="24" width="13.8515625" style="0" bestFit="1" customWidth="1"/>
    <col min="25" max="26" width="8.57421875" style="0" bestFit="1" customWidth="1"/>
    <col min="27" max="27" width="13.8515625" style="0" bestFit="1" customWidth="1"/>
    <col min="28" max="28" width="8.7109375" style="0" bestFit="1" customWidth="1"/>
    <col min="29" max="29" width="8.57421875" style="0" bestFit="1" customWidth="1"/>
    <col min="30" max="30" width="6.8515625" style="0" bestFit="1" customWidth="1"/>
    <col min="32" max="32" width="8.28125" style="0" bestFit="1" customWidth="1"/>
    <col min="33" max="33" width="16.8515625" style="0" bestFit="1" customWidth="1"/>
    <col min="34" max="34" width="7.57421875" style="0" bestFit="1" customWidth="1"/>
    <col min="35" max="35" width="8.8515625" style="0" bestFit="1" customWidth="1"/>
    <col min="37" max="37" width="7.140625" style="0" bestFit="1" customWidth="1"/>
  </cols>
  <sheetData>
    <row r="1" spans="1:37" ht="105">
      <c r="A1" s="24" t="s">
        <v>840</v>
      </c>
      <c r="B1" s="24" t="s">
        <v>841</v>
      </c>
      <c r="C1" s="24" t="s">
        <v>842</v>
      </c>
      <c r="D1" s="24" t="s">
        <v>843</v>
      </c>
      <c r="E1" s="24" t="s">
        <v>844</v>
      </c>
      <c r="F1" s="24" t="s">
        <v>845</v>
      </c>
      <c r="G1" s="24" t="s">
        <v>846</v>
      </c>
      <c r="H1" s="24" t="s">
        <v>847</v>
      </c>
      <c r="I1" s="25" t="s">
        <v>848</v>
      </c>
      <c r="J1" s="26" t="s">
        <v>849</v>
      </c>
      <c r="K1" s="26" t="s">
        <v>850</v>
      </c>
      <c r="L1" s="26" t="s">
        <v>851</v>
      </c>
      <c r="M1" s="26" t="s">
        <v>852</v>
      </c>
      <c r="N1" s="26" t="s">
        <v>853</v>
      </c>
      <c r="O1" s="26" t="s">
        <v>854</v>
      </c>
      <c r="P1" s="26" t="s">
        <v>855</v>
      </c>
      <c r="Q1" s="26" t="s">
        <v>856</v>
      </c>
      <c r="R1" s="26" t="s">
        <v>857</v>
      </c>
      <c r="S1" s="25" t="s">
        <v>858</v>
      </c>
      <c r="T1" s="27" t="s">
        <v>859</v>
      </c>
      <c r="U1" s="26" t="s">
        <v>860</v>
      </c>
      <c r="V1" s="26" t="s">
        <v>861</v>
      </c>
      <c r="W1" s="26" t="s">
        <v>862</v>
      </c>
      <c r="X1" s="26" t="s">
        <v>863</v>
      </c>
      <c r="Y1" s="26" t="s">
        <v>864</v>
      </c>
      <c r="Z1" s="26" t="s">
        <v>865</v>
      </c>
      <c r="AA1" s="26" t="s">
        <v>866</v>
      </c>
      <c r="AB1" s="26" t="s">
        <v>867</v>
      </c>
      <c r="AC1" s="26" t="s">
        <v>868</v>
      </c>
      <c r="AD1" s="26" t="s">
        <v>869</v>
      </c>
      <c r="AE1" s="26" t="s">
        <v>870</v>
      </c>
      <c r="AF1" s="26" t="s">
        <v>871</v>
      </c>
      <c r="AG1" s="26" t="s">
        <v>872</v>
      </c>
      <c r="AH1" s="26" t="s">
        <v>873</v>
      </c>
      <c r="AI1" s="26" t="s">
        <v>874</v>
      </c>
      <c r="AJ1" s="26" t="s">
        <v>875</v>
      </c>
      <c r="AK1" s="27" t="s">
        <v>876</v>
      </c>
    </row>
    <row r="2" spans="1:37" ht="12.75">
      <c r="A2" s="28" t="s">
        <v>877</v>
      </c>
      <c r="B2" s="28"/>
      <c r="C2" s="28"/>
      <c r="D2" s="28"/>
      <c r="E2" s="28"/>
      <c r="F2" s="28" t="s">
        <v>7</v>
      </c>
      <c r="G2" s="29"/>
      <c r="H2" s="29"/>
      <c r="I2" s="28">
        <v>39953</v>
      </c>
      <c r="J2" s="30" t="s">
        <v>4</v>
      </c>
      <c r="K2" s="29" t="s">
        <v>878</v>
      </c>
      <c r="L2" s="29" t="s">
        <v>878</v>
      </c>
      <c r="M2" s="29" t="s">
        <v>879</v>
      </c>
      <c r="N2" s="30" t="s">
        <v>93</v>
      </c>
      <c r="O2" s="29" t="s">
        <v>879</v>
      </c>
      <c r="P2" s="29" t="s">
        <v>879</v>
      </c>
      <c r="Q2" s="29" t="s">
        <v>879</v>
      </c>
      <c r="R2" s="29" t="s">
        <v>879</v>
      </c>
      <c r="S2" s="28">
        <v>39569</v>
      </c>
      <c r="T2" s="30" t="s">
        <v>4</v>
      </c>
      <c r="U2" s="29" t="s">
        <v>879</v>
      </c>
      <c r="V2" s="29" t="s">
        <v>879</v>
      </c>
      <c r="W2" s="28">
        <v>39569</v>
      </c>
      <c r="X2" s="30" t="s">
        <v>14</v>
      </c>
      <c r="Y2" s="30" t="s">
        <v>15</v>
      </c>
      <c r="Z2" s="30" t="s">
        <v>16</v>
      </c>
      <c r="AA2" s="30" t="s">
        <v>17</v>
      </c>
      <c r="AB2" s="29" t="s">
        <v>879</v>
      </c>
      <c r="AC2" s="30" t="s">
        <v>88</v>
      </c>
      <c r="AD2" s="29" t="s">
        <v>880</v>
      </c>
      <c r="AE2" s="29" t="s">
        <v>879</v>
      </c>
      <c r="AF2" s="29" t="s">
        <v>881</v>
      </c>
      <c r="AG2" s="29" t="s">
        <v>882</v>
      </c>
      <c r="AH2" s="29" t="s">
        <v>883</v>
      </c>
      <c r="AI2" s="29" t="s">
        <v>884</v>
      </c>
      <c r="AJ2" s="29" t="s">
        <v>885</v>
      </c>
      <c r="AK2" s="31">
        <v>101</v>
      </c>
    </row>
    <row r="3" spans="1:37" ht="12.75">
      <c r="A3" s="28" t="s">
        <v>877</v>
      </c>
      <c r="B3" s="28"/>
      <c r="C3" s="28"/>
      <c r="D3" s="28"/>
      <c r="E3" s="28"/>
      <c r="F3" s="28"/>
      <c r="G3" s="29"/>
      <c r="H3" s="29"/>
      <c r="I3" s="28"/>
      <c r="J3" s="30" t="s">
        <v>6</v>
      </c>
      <c r="K3" s="29"/>
      <c r="L3" s="29"/>
      <c r="M3" s="29"/>
      <c r="N3" s="29"/>
      <c r="O3" s="29"/>
      <c r="P3" s="29"/>
      <c r="Q3" s="29"/>
      <c r="R3" s="29"/>
      <c r="S3" s="28"/>
      <c r="T3" s="31"/>
      <c r="U3" s="29"/>
      <c r="V3" s="29"/>
      <c r="W3" s="28"/>
      <c r="X3" s="29"/>
      <c r="Y3" s="29"/>
      <c r="Z3" s="29"/>
      <c r="AA3" s="29"/>
      <c r="AB3" s="29"/>
      <c r="AC3" s="29"/>
      <c r="AD3" s="29"/>
      <c r="AE3" s="29"/>
      <c r="AF3" s="29"/>
      <c r="AG3" s="29"/>
      <c r="AH3" s="29"/>
      <c r="AI3" s="29"/>
      <c r="AJ3" s="29"/>
      <c r="AK3" s="31"/>
    </row>
    <row r="4" spans="1:37" ht="12.75">
      <c r="A4" s="81" t="s">
        <v>1247</v>
      </c>
      <c r="B4" s="32" t="str">
        <f aca="true" t="shared" si="0" ref="B4:B35">VLOOKUP(MID(A4,4,4),XREF2,4,FALSE)</f>
        <v>Compressor Pkg</v>
      </c>
      <c r="C4" s="32">
        <v>1</v>
      </c>
      <c r="D4" s="33"/>
      <c r="E4" s="34" t="str">
        <f aca="true" t="shared" si="1" ref="E4:E35">IF(LEN(J4)&lt;40,"ok",LEN(J4))</f>
        <v>ok</v>
      </c>
      <c r="F4" s="32" t="str">
        <f aca="true" ca="1" t="shared" si="2" ref="F4:F10">MID(VLOOKUP($F$2,INDIRECT(A4),2,FALSE),1,3)</f>
        <v>CAD</v>
      </c>
      <c r="G4" s="32" t="str">
        <f aca="true" t="shared" si="3" ref="G4:G35">IF(C4=1,"TBD","/")</f>
        <v>TBD</v>
      </c>
      <c r="H4" s="34" t="str">
        <f aca="true" t="shared" si="4" ref="H4:H35">IF(C4&lt;&gt;1,"TBD from created superior equipment","/")</f>
        <v>/</v>
      </c>
      <c r="I4" s="35" t="s">
        <v>879</v>
      </c>
      <c r="J4" s="35" t="str">
        <f aca="true" ca="1" t="shared" si="5" ref="J4:J10">CONCATENATE(MID(VLOOKUP($J$2,INDIRECT(A4),2,FALSE),6,99)," ",VLOOKUP($J$3,INDIRECT(A4),2,FALSE))</f>
        <v>Compressor Pkg Compressor Pkg (K400)</v>
      </c>
      <c r="K4" t="str">
        <f aca="true" t="shared" si="6" ref="K4:K35">+F4</f>
        <v>CAD</v>
      </c>
      <c r="L4" t="str">
        <f aca="true" t="shared" si="7" ref="L4:L35">+G4</f>
        <v>TBD</v>
      </c>
      <c r="M4" s="35" t="str">
        <f aca="true" t="shared" si="8" ref="M4:M35">+H4</f>
        <v>/</v>
      </c>
      <c r="N4" s="35" t="str">
        <f aca="true" ca="1" t="shared" si="9" ref="N4:N10">VLOOKUP($N$2,INDIRECT(A4),2,FALSE)</f>
        <v>/</v>
      </c>
      <c r="O4" s="35" t="s">
        <v>879</v>
      </c>
      <c r="P4" s="35" t="s">
        <v>879</v>
      </c>
      <c r="Q4" s="35" t="s">
        <v>879</v>
      </c>
      <c r="R4" s="35" t="s">
        <v>879</v>
      </c>
      <c r="S4" s="35" t="s">
        <v>879</v>
      </c>
      <c r="T4" s="35" t="str">
        <f aca="true" ca="1" t="shared" si="10" ref="T4:T10">MID(VLOOKUP($T$2,INDIRECT(A4),2,FALSE),1,4)</f>
        <v>9707</v>
      </c>
      <c r="U4" s="35" t="s">
        <v>879</v>
      </c>
      <c r="V4" s="35" t="s">
        <v>879</v>
      </c>
      <c r="W4" s="35" t="s">
        <v>879</v>
      </c>
      <c r="X4" s="35" t="str">
        <f aca="true" ca="1" t="shared" si="11" ref="X4:X10">VLOOKUP($X$2,INDIRECT(A4),2,FALSE)</f>
        <v>/</v>
      </c>
      <c r="Y4" s="35" t="str">
        <f aca="true" ca="1" t="shared" si="12" ref="Y4:Y10">VLOOKUP($Y$2,INDIRECT(A4),2,FALSE)</f>
        <v>/</v>
      </c>
      <c r="Z4" s="35" t="str">
        <f aca="true" ca="1" t="shared" si="13" ref="Z4:Z10">VLOOKUP($Z$2,INDIRECT($A4),2,FALSE)</f>
        <v>/</v>
      </c>
      <c r="AA4" s="35" t="str">
        <f aca="true" ca="1" t="shared" si="14" ref="AA4:AA10">VLOOKUP($AA$2,INDIRECT($A4),2,FALSE)</f>
        <v>/</v>
      </c>
      <c r="AB4" s="35" t="s">
        <v>879</v>
      </c>
      <c r="AC4" s="35" t="str">
        <f aca="true" ca="1" t="shared" si="15" ref="AC4:AC10">VLOOKUP($AC$2,INDIRECT($A4),2,FALSE)</f>
        <v>/</v>
      </c>
      <c r="AD4" s="35" t="s">
        <v>879</v>
      </c>
      <c r="AE4" s="35" t="s">
        <v>879</v>
      </c>
      <c r="AF4" s="35" t="s">
        <v>879</v>
      </c>
      <c r="AG4" s="35" t="s">
        <v>879</v>
      </c>
      <c r="AH4" s="35" t="s">
        <v>879</v>
      </c>
      <c r="AI4" s="35" t="s">
        <v>879</v>
      </c>
      <c r="AJ4" t="str">
        <f aca="true" t="shared" si="16" ref="AJ4:AJ35">CONCATENATE(MID(K4,1,3),"_",VLOOKUP(T4,XREF2,3,FALSE),1)</f>
        <v>CAD_MEC1</v>
      </c>
      <c r="AK4" t="str">
        <f aca="true" t="shared" si="17" ref="AK4:AK35">VLOOKUP(T4,XREF2,2,FALSE)</f>
        <v>/</v>
      </c>
    </row>
    <row r="5" spans="1:37" ht="12.75">
      <c r="A5" s="81" t="s">
        <v>1220</v>
      </c>
      <c r="B5" s="32" t="str">
        <f t="shared" si="0"/>
        <v>Building</v>
      </c>
      <c r="C5" s="32">
        <v>2</v>
      </c>
      <c r="D5" s="33"/>
      <c r="E5" s="34" t="str">
        <f t="shared" si="1"/>
        <v>ok</v>
      </c>
      <c r="F5" s="32" t="str">
        <f ca="1" t="shared" si="2"/>
        <v>CAD</v>
      </c>
      <c r="G5" s="32" t="str">
        <f t="shared" si="3"/>
        <v>/</v>
      </c>
      <c r="H5" s="34" t="str">
        <f t="shared" si="4"/>
        <v>TBD from created superior equipment</v>
      </c>
      <c r="I5" s="35" t="s">
        <v>879</v>
      </c>
      <c r="J5" s="35" t="str">
        <f ca="1" t="shared" si="5"/>
        <v>Building Building (K-400 Compressor)</v>
      </c>
      <c r="K5" t="str">
        <f t="shared" si="6"/>
        <v>CAD</v>
      </c>
      <c r="L5" t="str">
        <f t="shared" si="7"/>
        <v>/</v>
      </c>
      <c r="M5" s="35" t="str">
        <f t="shared" si="8"/>
        <v>TBD from created superior equipment</v>
      </c>
      <c r="N5" s="35" t="str">
        <f ca="1" t="shared" si="9"/>
        <v>/</v>
      </c>
      <c r="O5" s="35" t="s">
        <v>879</v>
      </c>
      <c r="P5" s="35" t="s">
        <v>879</v>
      </c>
      <c r="Q5" s="35" t="s">
        <v>879</v>
      </c>
      <c r="R5" s="35" t="s">
        <v>879</v>
      </c>
      <c r="S5" s="35" t="s">
        <v>879</v>
      </c>
      <c r="T5" s="35" t="str">
        <f ca="1" t="shared" si="10"/>
        <v>1004</v>
      </c>
      <c r="U5" s="35" t="s">
        <v>879</v>
      </c>
      <c r="V5" s="35" t="s">
        <v>879</v>
      </c>
      <c r="W5" s="35" t="s">
        <v>879</v>
      </c>
      <c r="X5" s="35" t="str">
        <f ca="1" t="shared" si="11"/>
        <v>/</v>
      </c>
      <c r="Y5" s="35" t="str">
        <f ca="1" t="shared" si="12"/>
        <v>/</v>
      </c>
      <c r="Z5" s="35" t="str">
        <f ca="1" t="shared" si="13"/>
        <v>/</v>
      </c>
      <c r="AA5" s="35" t="str">
        <f ca="1" t="shared" si="14"/>
        <v>/</v>
      </c>
      <c r="AB5" s="35" t="s">
        <v>879</v>
      </c>
      <c r="AC5" s="35" t="str">
        <f ca="1" t="shared" si="15"/>
        <v>/</v>
      </c>
      <c r="AD5" s="35" t="s">
        <v>879</v>
      </c>
      <c r="AE5" s="35" t="s">
        <v>879</v>
      </c>
      <c r="AF5" s="35" t="s">
        <v>879</v>
      </c>
      <c r="AG5" s="35" t="s">
        <v>879</v>
      </c>
      <c r="AH5" s="35" t="s">
        <v>879</v>
      </c>
      <c r="AI5" s="35" t="s">
        <v>879</v>
      </c>
      <c r="AJ5" t="str">
        <f t="shared" si="16"/>
        <v>CAD_CRE1</v>
      </c>
      <c r="AK5">
        <f t="shared" si="17"/>
        <v>1004</v>
      </c>
    </row>
    <row r="6" spans="1:37" ht="12.75">
      <c r="A6" s="81" t="s">
        <v>1222</v>
      </c>
      <c r="B6" s="32" t="str">
        <f t="shared" si="0"/>
        <v>Compressor Cent</v>
      </c>
      <c r="C6" s="32">
        <v>2</v>
      </c>
      <c r="D6" s="33"/>
      <c r="E6" s="34" t="str">
        <f t="shared" si="1"/>
        <v>ok</v>
      </c>
      <c r="F6" s="32" t="str">
        <f ca="1" t="shared" si="2"/>
        <v>CAD</v>
      </c>
      <c r="G6" s="32" t="str">
        <f t="shared" si="3"/>
        <v>/</v>
      </c>
      <c r="H6" s="34" t="str">
        <f t="shared" si="4"/>
        <v>TBD from created superior equipment</v>
      </c>
      <c r="I6" s="35" t="s">
        <v>879</v>
      </c>
      <c r="J6" s="35" t="str">
        <f ca="1" t="shared" si="5"/>
        <v>Compressor Cent </v>
      </c>
      <c r="K6" t="str">
        <f t="shared" si="6"/>
        <v>CAD</v>
      </c>
      <c r="L6" t="str">
        <f t="shared" si="7"/>
        <v>/</v>
      </c>
      <c r="M6" s="35" t="str">
        <f t="shared" si="8"/>
        <v>TBD from created superior equipment</v>
      </c>
      <c r="N6" s="35" t="str">
        <f ca="1" t="shared" si="9"/>
        <v>/</v>
      </c>
      <c r="O6" s="35" t="s">
        <v>879</v>
      </c>
      <c r="P6" s="35" t="s">
        <v>879</v>
      </c>
      <c r="Q6" s="35" t="s">
        <v>879</v>
      </c>
      <c r="R6" s="35" t="s">
        <v>879</v>
      </c>
      <c r="S6" s="35" t="s">
        <v>879</v>
      </c>
      <c r="T6" s="35" t="str">
        <f ca="1" t="shared" si="10"/>
        <v>1601</v>
      </c>
      <c r="U6" s="35" t="s">
        <v>879</v>
      </c>
      <c r="V6" s="35" t="s">
        <v>879</v>
      </c>
      <c r="W6" s="35" t="s">
        <v>879</v>
      </c>
      <c r="X6" s="35" t="str">
        <f ca="1" t="shared" si="11"/>
        <v>/</v>
      </c>
      <c r="Y6" s="35" t="str">
        <f ca="1" t="shared" si="12"/>
        <v>/</v>
      </c>
      <c r="Z6" s="35" t="str">
        <f ca="1" t="shared" si="13"/>
        <v>/</v>
      </c>
      <c r="AA6" s="35" t="str">
        <f ca="1" t="shared" si="14"/>
        <v>/</v>
      </c>
      <c r="AB6" s="35" t="s">
        <v>879</v>
      </c>
      <c r="AC6" s="35" t="str">
        <f ca="1" t="shared" si="15"/>
        <v>/</v>
      </c>
      <c r="AD6" s="35" t="s">
        <v>879</v>
      </c>
      <c r="AE6" s="35" t="s">
        <v>879</v>
      </c>
      <c r="AF6" s="35" t="s">
        <v>879</v>
      </c>
      <c r="AG6" s="35" t="s">
        <v>879</v>
      </c>
      <c r="AH6" s="35" t="s">
        <v>879</v>
      </c>
      <c r="AI6" s="35" t="s">
        <v>879</v>
      </c>
      <c r="AJ6" t="str">
        <f t="shared" si="16"/>
        <v>CAD_MEC1</v>
      </c>
      <c r="AK6">
        <f t="shared" si="17"/>
        <v>1601</v>
      </c>
    </row>
    <row r="7" spans="1:37" ht="12.75">
      <c r="A7" s="81" t="s">
        <v>1223</v>
      </c>
      <c r="B7" s="32" t="str">
        <f t="shared" si="0"/>
        <v>Compressor Recip</v>
      </c>
      <c r="C7" s="32">
        <v>2</v>
      </c>
      <c r="D7" s="33"/>
      <c r="E7" s="34" t="str">
        <f t="shared" si="1"/>
        <v>ok</v>
      </c>
      <c r="F7" s="32" t="str">
        <f ca="1" t="shared" si="2"/>
        <v>CAD</v>
      </c>
      <c r="G7" s="32" t="str">
        <f t="shared" si="3"/>
        <v>/</v>
      </c>
      <c r="H7" s="34" t="str">
        <f t="shared" si="4"/>
        <v>TBD from created superior equipment</v>
      </c>
      <c r="I7" s="35" t="s">
        <v>879</v>
      </c>
      <c r="J7" s="35" t="str">
        <f ca="1" t="shared" si="5"/>
        <v>Compressor Recip Compressor Recip</v>
      </c>
      <c r="K7" t="str">
        <f t="shared" si="6"/>
        <v>CAD</v>
      </c>
      <c r="L7" t="str">
        <f t="shared" si="7"/>
        <v>/</v>
      </c>
      <c r="M7" s="35" t="str">
        <f t="shared" si="8"/>
        <v>TBD from created superior equipment</v>
      </c>
      <c r="N7" s="35" t="str">
        <f ca="1" t="shared" si="9"/>
        <v>/</v>
      </c>
      <c r="O7" s="35" t="s">
        <v>879</v>
      </c>
      <c r="P7" s="35" t="s">
        <v>879</v>
      </c>
      <c r="Q7" s="35" t="s">
        <v>879</v>
      </c>
      <c r="R7" s="35" t="s">
        <v>879</v>
      </c>
      <c r="S7" s="35" t="s">
        <v>879</v>
      </c>
      <c r="T7" s="35" t="str">
        <f ca="1" t="shared" si="10"/>
        <v>1602</v>
      </c>
      <c r="U7" s="35" t="s">
        <v>879</v>
      </c>
      <c r="V7" s="35" t="s">
        <v>879</v>
      </c>
      <c r="W7" s="35" t="s">
        <v>879</v>
      </c>
      <c r="X7" s="35" t="str">
        <f ca="1" t="shared" si="11"/>
        <v>Ariel Corporation</v>
      </c>
      <c r="Y7" s="35" t="str">
        <f ca="1" t="shared" si="12"/>
        <v>JGR/2</v>
      </c>
      <c r="Z7" s="35" t="str">
        <f ca="1" t="shared" si="13"/>
        <v>/</v>
      </c>
      <c r="AA7" s="35" t="str">
        <f ca="1" t="shared" si="14"/>
        <v>F-6518</v>
      </c>
      <c r="AB7" s="35" t="s">
        <v>879</v>
      </c>
      <c r="AC7" s="35" t="str">
        <f ca="1" t="shared" si="15"/>
        <v>/</v>
      </c>
      <c r="AD7" s="35" t="s">
        <v>879</v>
      </c>
      <c r="AE7" s="35" t="s">
        <v>879</v>
      </c>
      <c r="AF7" s="35" t="s">
        <v>879</v>
      </c>
      <c r="AG7" s="35" t="s">
        <v>879</v>
      </c>
      <c r="AH7" s="35" t="s">
        <v>879</v>
      </c>
      <c r="AI7" s="35" t="s">
        <v>879</v>
      </c>
      <c r="AJ7" t="str">
        <f t="shared" si="16"/>
        <v>CAD_MEC1</v>
      </c>
      <c r="AK7">
        <f t="shared" si="17"/>
        <v>1602</v>
      </c>
    </row>
    <row r="8" spans="1:37" ht="12.75">
      <c r="A8" s="81" t="s">
        <v>1224</v>
      </c>
      <c r="B8" s="32" t="str">
        <f t="shared" si="0"/>
        <v>Compressor Rotary</v>
      </c>
      <c r="C8" s="32">
        <v>2</v>
      </c>
      <c r="D8" s="33"/>
      <c r="E8" s="34" t="str">
        <f t="shared" si="1"/>
        <v>ok</v>
      </c>
      <c r="F8" s="32" t="str">
        <f ca="1" t="shared" si="2"/>
        <v>CAD</v>
      </c>
      <c r="G8" s="32" t="str">
        <f t="shared" si="3"/>
        <v>/</v>
      </c>
      <c r="H8" s="34" t="str">
        <f t="shared" si="4"/>
        <v>TBD from created superior equipment</v>
      </c>
      <c r="I8" s="35" t="s">
        <v>879</v>
      </c>
      <c r="J8" s="35" t="str">
        <f ca="1" t="shared" si="5"/>
        <v>Compressor Rotary </v>
      </c>
      <c r="K8" t="str">
        <f t="shared" si="6"/>
        <v>CAD</v>
      </c>
      <c r="L8" t="str">
        <f t="shared" si="7"/>
        <v>/</v>
      </c>
      <c r="M8" s="35" t="str">
        <f t="shared" si="8"/>
        <v>TBD from created superior equipment</v>
      </c>
      <c r="N8" s="35" t="str">
        <f ca="1" t="shared" si="9"/>
        <v>/</v>
      </c>
      <c r="O8" s="35" t="s">
        <v>879</v>
      </c>
      <c r="P8" s="35" t="s">
        <v>879</v>
      </c>
      <c r="Q8" s="35" t="s">
        <v>879</v>
      </c>
      <c r="R8" s="35" t="s">
        <v>879</v>
      </c>
      <c r="S8" s="35" t="s">
        <v>879</v>
      </c>
      <c r="T8" s="35" t="str">
        <f ca="1" t="shared" si="10"/>
        <v>1603</v>
      </c>
      <c r="U8" s="35" t="s">
        <v>879</v>
      </c>
      <c r="V8" s="35" t="s">
        <v>879</v>
      </c>
      <c r="W8" s="35" t="s">
        <v>879</v>
      </c>
      <c r="X8" s="35" t="str">
        <f ca="1" t="shared" si="11"/>
        <v>/</v>
      </c>
      <c r="Y8" s="35" t="str">
        <f ca="1" t="shared" si="12"/>
        <v>/</v>
      </c>
      <c r="Z8" s="35" t="str">
        <f ca="1" t="shared" si="13"/>
        <v>/</v>
      </c>
      <c r="AA8" s="35" t="str">
        <f ca="1" t="shared" si="14"/>
        <v>/</v>
      </c>
      <c r="AB8" s="35" t="s">
        <v>879</v>
      </c>
      <c r="AC8" s="35" t="str">
        <f ca="1" t="shared" si="15"/>
        <v>/</v>
      </c>
      <c r="AD8" s="35" t="s">
        <v>879</v>
      </c>
      <c r="AE8" s="35" t="s">
        <v>879</v>
      </c>
      <c r="AF8" s="35" t="s">
        <v>879</v>
      </c>
      <c r="AG8" s="35" t="s">
        <v>879</v>
      </c>
      <c r="AH8" s="35" t="s">
        <v>879</v>
      </c>
      <c r="AI8" s="35" t="s">
        <v>879</v>
      </c>
      <c r="AJ8" t="str">
        <f t="shared" si="16"/>
        <v>CAD_MEC1</v>
      </c>
      <c r="AK8">
        <f t="shared" si="17"/>
        <v>1603</v>
      </c>
    </row>
    <row r="9" spans="1:37" ht="12.75">
      <c r="A9" s="81" t="s">
        <v>1225</v>
      </c>
      <c r="B9" s="32" t="str">
        <f t="shared" si="0"/>
        <v>Panel Control</v>
      </c>
      <c r="C9" s="32">
        <v>2</v>
      </c>
      <c r="D9" s="33"/>
      <c r="E9" s="34" t="str">
        <f t="shared" si="1"/>
        <v>ok</v>
      </c>
      <c r="F9" s="32" t="str">
        <f ca="1" t="shared" si="2"/>
        <v>CAD</v>
      </c>
      <c r="G9" s="32" t="str">
        <f t="shared" si="3"/>
        <v>/</v>
      </c>
      <c r="H9" s="34" t="str">
        <f t="shared" si="4"/>
        <v>TBD from created superior equipment</v>
      </c>
      <c r="I9" s="35" t="s">
        <v>879</v>
      </c>
      <c r="J9" s="35" t="str">
        <f ca="1" t="shared" si="5"/>
        <v>Panel Control Panel Control</v>
      </c>
      <c r="K9" t="str">
        <f t="shared" si="6"/>
        <v>CAD</v>
      </c>
      <c r="L9" t="str">
        <f t="shared" si="7"/>
        <v>/</v>
      </c>
      <c r="M9" s="35" t="str">
        <f t="shared" si="8"/>
        <v>TBD from created superior equipment</v>
      </c>
      <c r="N9" s="35" t="str">
        <f ca="1" t="shared" si="9"/>
        <v>/</v>
      </c>
      <c r="O9" s="35" t="s">
        <v>879</v>
      </c>
      <c r="P9" s="35" t="s">
        <v>879</v>
      </c>
      <c r="Q9" s="35" t="s">
        <v>879</v>
      </c>
      <c r="R9" s="35" t="s">
        <v>879</v>
      </c>
      <c r="S9" s="35" t="s">
        <v>879</v>
      </c>
      <c r="T9" s="35" t="str">
        <f ca="1" t="shared" si="10"/>
        <v>2814</v>
      </c>
      <c r="U9" s="35" t="s">
        <v>879</v>
      </c>
      <c r="V9" s="35" t="s">
        <v>879</v>
      </c>
      <c r="W9" s="35" t="s">
        <v>879</v>
      </c>
      <c r="X9" s="35" t="str">
        <f ca="1" t="shared" si="11"/>
        <v>AMOT Controls Corp</v>
      </c>
      <c r="Y9" s="35">
        <f ca="1" t="shared" si="12"/>
        <v>650127</v>
      </c>
      <c r="Z9" s="35" t="str">
        <f ca="1" t="shared" si="13"/>
        <v>/</v>
      </c>
      <c r="AA9" s="35" t="str">
        <f ca="1" t="shared" si="14"/>
        <v>DA-0244</v>
      </c>
      <c r="AB9" s="35" t="s">
        <v>879</v>
      </c>
      <c r="AC9" s="35" t="str">
        <f ca="1" t="shared" si="15"/>
        <v>/</v>
      </c>
      <c r="AD9" s="35" t="s">
        <v>879</v>
      </c>
      <c r="AE9" s="35" t="s">
        <v>879</v>
      </c>
      <c r="AF9" s="35" t="s">
        <v>879</v>
      </c>
      <c r="AG9" s="35" t="s">
        <v>879</v>
      </c>
      <c r="AH9" s="35" t="s">
        <v>879</v>
      </c>
      <c r="AI9" s="35" t="s">
        <v>879</v>
      </c>
      <c r="AJ9" t="str">
        <f t="shared" si="16"/>
        <v>CAD_INS1</v>
      </c>
      <c r="AK9">
        <f t="shared" si="17"/>
        <v>2814</v>
      </c>
    </row>
    <row r="10" spans="1:37" ht="12.75">
      <c r="A10" s="81" t="s">
        <v>1226</v>
      </c>
      <c r="B10" s="32" t="str">
        <f t="shared" si="0"/>
        <v>Motor AC</v>
      </c>
      <c r="C10" s="32">
        <v>2</v>
      </c>
      <c r="D10" s="33"/>
      <c r="E10" s="34" t="str">
        <f t="shared" si="1"/>
        <v>ok</v>
      </c>
      <c r="F10" s="32" t="str">
        <f ca="1" t="shared" si="2"/>
        <v>CAD</v>
      </c>
      <c r="G10" s="32" t="str">
        <f t="shared" si="3"/>
        <v>/</v>
      </c>
      <c r="H10" s="34" t="str">
        <f t="shared" si="4"/>
        <v>TBD from created superior equipment</v>
      </c>
      <c r="I10" s="35" t="s">
        <v>879</v>
      </c>
      <c r="J10" s="35" t="str">
        <f ca="1" t="shared" si="5"/>
        <v>Motor AC </v>
      </c>
      <c r="K10" t="str">
        <f t="shared" si="6"/>
        <v>CAD</v>
      </c>
      <c r="L10" t="str">
        <f t="shared" si="7"/>
        <v>/</v>
      </c>
      <c r="M10" s="35" t="str">
        <f t="shared" si="8"/>
        <v>TBD from created superior equipment</v>
      </c>
      <c r="N10" s="35" t="str">
        <f ca="1" t="shared" si="9"/>
        <v>/</v>
      </c>
      <c r="O10" s="35" t="s">
        <v>879</v>
      </c>
      <c r="P10" s="35" t="s">
        <v>879</v>
      </c>
      <c r="Q10" s="35" t="s">
        <v>879</v>
      </c>
      <c r="R10" s="35" t="s">
        <v>879</v>
      </c>
      <c r="S10" s="35" t="s">
        <v>879</v>
      </c>
      <c r="T10" s="35" t="str">
        <f ca="1" t="shared" si="10"/>
        <v>3003</v>
      </c>
      <c r="U10" s="35" t="s">
        <v>879</v>
      </c>
      <c r="V10" s="35" t="s">
        <v>879</v>
      </c>
      <c r="W10" s="35" t="s">
        <v>879</v>
      </c>
      <c r="X10" s="35" t="str">
        <f ca="1" t="shared" si="11"/>
        <v>/</v>
      </c>
      <c r="Y10" s="35" t="str">
        <f ca="1" t="shared" si="12"/>
        <v>/</v>
      </c>
      <c r="Z10" s="35" t="str">
        <f ca="1" t="shared" si="13"/>
        <v>/</v>
      </c>
      <c r="AA10" s="35" t="str">
        <f ca="1" t="shared" si="14"/>
        <v>/</v>
      </c>
      <c r="AB10" s="35" t="s">
        <v>879</v>
      </c>
      <c r="AC10" s="35" t="str">
        <f ca="1" t="shared" si="15"/>
        <v>/</v>
      </c>
      <c r="AD10" s="35" t="s">
        <v>879</v>
      </c>
      <c r="AE10" s="35" t="s">
        <v>879</v>
      </c>
      <c r="AF10" s="35" t="s">
        <v>879</v>
      </c>
      <c r="AG10" s="35" t="s">
        <v>879</v>
      </c>
      <c r="AH10" s="35" t="s">
        <v>879</v>
      </c>
      <c r="AI10" s="35" t="s">
        <v>879</v>
      </c>
      <c r="AJ10" t="str">
        <f t="shared" si="16"/>
        <v>CAD_ELE1</v>
      </c>
      <c r="AK10">
        <f t="shared" si="17"/>
        <v>3003</v>
      </c>
    </row>
    <row r="11" spans="1:37" ht="12.75">
      <c r="A11" s="82" t="s">
        <v>1226</v>
      </c>
      <c r="B11" s="78" t="str">
        <f t="shared" si="0"/>
        <v>Motor AC</v>
      </c>
      <c r="C11" s="78">
        <v>2</v>
      </c>
      <c r="D11" s="79"/>
      <c r="E11" s="80" t="str">
        <f t="shared" si="1"/>
        <v>ok</v>
      </c>
      <c r="F11" s="78" t="str">
        <f ca="1">MID(VLOOKUP($F$2,INDIRECT(A11),3,FALSE),1,3)</f>
        <v>CAD</v>
      </c>
      <c r="G11" s="78" t="str">
        <f t="shared" si="3"/>
        <v>/</v>
      </c>
      <c r="H11" s="80" t="str">
        <f t="shared" si="4"/>
        <v>TBD from created superior equipment</v>
      </c>
      <c r="I11" s="80" t="s">
        <v>879</v>
      </c>
      <c r="J11" s="80" t="str">
        <f ca="1">CONCATENATE(MID(VLOOKUP($J$2,INDIRECT(A11),3,FALSE),6,99)," ",VLOOKUP($J$3,INDIRECT(A11),3,FALSE))</f>
        <v>Motor AC </v>
      </c>
      <c r="K11" s="78" t="str">
        <f t="shared" si="6"/>
        <v>CAD</v>
      </c>
      <c r="L11" s="78" t="str">
        <f t="shared" si="7"/>
        <v>/</v>
      </c>
      <c r="M11" s="80" t="str">
        <f t="shared" si="8"/>
        <v>TBD from created superior equipment</v>
      </c>
      <c r="N11" s="80" t="str">
        <f ca="1">VLOOKUP($N$2,INDIRECT(A11),3,FALSE)</f>
        <v>/</v>
      </c>
      <c r="O11" s="80" t="s">
        <v>879</v>
      </c>
      <c r="P11" s="80" t="s">
        <v>879</v>
      </c>
      <c r="Q11" s="80" t="s">
        <v>879</v>
      </c>
      <c r="R11" s="80" t="s">
        <v>879</v>
      </c>
      <c r="S11" s="80" t="s">
        <v>879</v>
      </c>
      <c r="T11" s="80" t="str">
        <f ca="1">MID(VLOOKUP($T$2,INDIRECT(A11),3,FALSE),1,4)</f>
        <v>3003</v>
      </c>
      <c r="U11" s="80" t="s">
        <v>879</v>
      </c>
      <c r="V11" s="80" t="s">
        <v>879</v>
      </c>
      <c r="W11" s="80" t="s">
        <v>879</v>
      </c>
      <c r="X11" s="80" t="str">
        <f ca="1">VLOOKUP($X$2,INDIRECT(A11),3,FALSE)</f>
        <v>/</v>
      </c>
      <c r="Y11" s="80" t="str">
        <f ca="1">VLOOKUP($Y$2,INDIRECT(A11),3,FALSE)</f>
        <v>/</v>
      </c>
      <c r="Z11" s="80" t="str">
        <f ca="1">VLOOKUP($Z$2,INDIRECT($A11),3,FALSE)</f>
        <v>/</v>
      </c>
      <c r="AA11" s="80" t="str">
        <f ca="1">VLOOKUP($AA$2,INDIRECT($A11),3,FALSE)</f>
        <v>/</v>
      </c>
      <c r="AB11" s="80" t="s">
        <v>879</v>
      </c>
      <c r="AC11" s="80" t="str">
        <f ca="1">VLOOKUP($AC$2,INDIRECT($A11),3,FALSE)</f>
        <v>/</v>
      </c>
      <c r="AD11" s="80" t="s">
        <v>879</v>
      </c>
      <c r="AE11" s="80" t="s">
        <v>879</v>
      </c>
      <c r="AF11" s="80" t="s">
        <v>879</v>
      </c>
      <c r="AG11" s="80" t="s">
        <v>879</v>
      </c>
      <c r="AH11" s="80" t="s">
        <v>879</v>
      </c>
      <c r="AI11" s="80" t="s">
        <v>879</v>
      </c>
      <c r="AJ11" s="78" t="str">
        <f t="shared" si="16"/>
        <v>CAD_ELE1</v>
      </c>
      <c r="AK11" s="78">
        <f t="shared" si="17"/>
        <v>3003</v>
      </c>
    </row>
    <row r="12" spans="1:37" ht="12.75">
      <c r="A12" s="81" t="s">
        <v>1228</v>
      </c>
      <c r="B12" s="32" t="str">
        <f t="shared" si="0"/>
        <v>Engine</v>
      </c>
      <c r="C12" s="32">
        <v>2</v>
      </c>
      <c r="D12" s="33"/>
      <c r="E12" s="34" t="str">
        <f t="shared" si="1"/>
        <v>ok</v>
      </c>
      <c r="F12" s="32" t="str">
        <f ca="1">MID(VLOOKUP($F$2,INDIRECT(A12),2,FALSE),1,3)</f>
        <v>CAD</v>
      </c>
      <c r="G12" s="32" t="str">
        <f t="shared" si="3"/>
        <v>/</v>
      </c>
      <c r="H12" s="34" t="str">
        <f t="shared" si="4"/>
        <v>TBD from created superior equipment</v>
      </c>
      <c r="I12" s="35" t="s">
        <v>879</v>
      </c>
      <c r="J12" s="35" t="str">
        <f ca="1">CONCATENATE(MID(VLOOKUP($J$2,INDIRECT(A12),2,FALSE),6,99)," ",VLOOKUP($J$3,INDIRECT(A12),2,FALSE))</f>
        <v>Engine Engine (Compressor)</v>
      </c>
      <c r="K12" t="str">
        <f t="shared" si="6"/>
        <v>CAD</v>
      </c>
      <c r="L12" t="str">
        <f t="shared" si="7"/>
        <v>/</v>
      </c>
      <c r="M12" s="35" t="str">
        <f t="shared" si="8"/>
        <v>TBD from created superior equipment</v>
      </c>
      <c r="N12" s="35" t="str">
        <f ca="1">VLOOKUP($N$2,INDIRECT(A12),2,FALSE)</f>
        <v>/</v>
      </c>
      <c r="O12" s="35" t="s">
        <v>879</v>
      </c>
      <c r="P12" s="35" t="s">
        <v>879</v>
      </c>
      <c r="Q12" s="35" t="s">
        <v>879</v>
      </c>
      <c r="R12" s="35" t="s">
        <v>879</v>
      </c>
      <c r="S12" s="35" t="s">
        <v>879</v>
      </c>
      <c r="T12" s="35" t="str">
        <f ca="1">MID(VLOOKUP($T$2,INDIRECT(A12),2,FALSE),1,4)</f>
        <v>3202</v>
      </c>
      <c r="U12" s="35" t="s">
        <v>879</v>
      </c>
      <c r="V12" s="35" t="s">
        <v>879</v>
      </c>
      <c r="W12" s="35" t="s">
        <v>879</v>
      </c>
      <c r="X12" s="35" t="str">
        <f ca="1">VLOOKUP($X$2,INDIRECT(A12),2,FALSE)</f>
        <v>/</v>
      </c>
      <c r="Y12" s="35" t="str">
        <f ca="1">VLOOKUP($Y$2,INDIRECT(A12),2,FALSE)</f>
        <v>F3521G</v>
      </c>
      <c r="Z12" s="35" t="str">
        <f ca="1">VLOOKUP($Z$2,INDIRECT($A12),2,FALSE)</f>
        <v>/</v>
      </c>
      <c r="AA12" s="35" t="str">
        <f ca="1">VLOOKUP($AA$2,INDIRECT($A12),2,FALSE)</f>
        <v>/</v>
      </c>
      <c r="AB12" s="35" t="s">
        <v>879</v>
      </c>
      <c r="AC12" s="35" t="str">
        <f ca="1">VLOOKUP($AC$2,INDIRECT($A12),2,FALSE)</f>
        <v>/</v>
      </c>
      <c r="AD12" s="35" t="s">
        <v>879</v>
      </c>
      <c r="AE12" s="35" t="s">
        <v>879</v>
      </c>
      <c r="AF12" s="35" t="s">
        <v>879</v>
      </c>
      <c r="AG12" s="35" t="s">
        <v>879</v>
      </c>
      <c r="AH12" s="35" t="s">
        <v>879</v>
      </c>
      <c r="AI12" s="35" t="s">
        <v>879</v>
      </c>
      <c r="AJ12" t="str">
        <f t="shared" si="16"/>
        <v>CAD_MEC1</v>
      </c>
      <c r="AK12">
        <f t="shared" si="17"/>
        <v>3202</v>
      </c>
    </row>
    <row r="13" spans="1:37" ht="12.75">
      <c r="A13" s="81" t="s">
        <v>1233</v>
      </c>
      <c r="B13" s="32" t="str">
        <f t="shared" si="0"/>
        <v>Acct Mtr Pkg</v>
      </c>
      <c r="C13" s="32">
        <v>2</v>
      </c>
      <c r="D13" s="33"/>
      <c r="E13" s="34" t="str">
        <f t="shared" si="1"/>
        <v>ok</v>
      </c>
      <c r="F13" s="32" t="str">
        <f ca="1">MID(VLOOKUP($F$2,INDIRECT(A13),2,FALSE),1,3)</f>
        <v>CAD</v>
      </c>
      <c r="G13" s="32" t="str">
        <f t="shared" si="3"/>
        <v>/</v>
      </c>
      <c r="H13" s="34" t="str">
        <f t="shared" si="4"/>
        <v>TBD from created superior equipment</v>
      </c>
      <c r="I13" s="35" t="s">
        <v>879</v>
      </c>
      <c r="J13" s="35" t="str">
        <f ca="1">CONCATENATE(MID(VLOOKUP($J$2,INDIRECT(A13),2,FALSE),6,99)," ",VLOOKUP($J$3,INDIRECT(A13),2,FALSE))</f>
        <v>Acct Mtr Pkg </v>
      </c>
      <c r="K13" t="str">
        <f t="shared" si="6"/>
        <v>CAD</v>
      </c>
      <c r="L13" t="str">
        <f t="shared" si="7"/>
        <v>/</v>
      </c>
      <c r="M13" s="35" t="str">
        <f t="shared" si="8"/>
        <v>TBD from created superior equipment</v>
      </c>
      <c r="N13" s="35" t="str">
        <f ca="1">VLOOKUP($N$2,INDIRECT(A13),2,FALSE)</f>
        <v>/</v>
      </c>
      <c r="O13" s="35" t="s">
        <v>879</v>
      </c>
      <c r="P13" s="35" t="s">
        <v>879</v>
      </c>
      <c r="Q13" s="35" t="s">
        <v>879</v>
      </c>
      <c r="R13" s="35" t="s">
        <v>879</v>
      </c>
      <c r="S13" s="35" t="s">
        <v>879</v>
      </c>
      <c r="T13" s="35" t="str">
        <f ca="1">MID(VLOOKUP($T$2,INDIRECT(A13),2,FALSE),1,4)</f>
        <v>4015</v>
      </c>
      <c r="U13" s="35" t="s">
        <v>879</v>
      </c>
      <c r="V13" s="35" t="s">
        <v>879</v>
      </c>
      <c r="W13" s="35" t="s">
        <v>879</v>
      </c>
      <c r="X13" s="35" t="str">
        <f ca="1">VLOOKUP($X$2,INDIRECT(A13),2,FALSE)</f>
        <v>/</v>
      </c>
      <c r="Y13" s="35" t="str">
        <f ca="1">VLOOKUP($Y$2,INDIRECT(A13),2,FALSE)</f>
        <v>/</v>
      </c>
      <c r="Z13" s="35" t="str">
        <f ca="1">VLOOKUP($Z$2,INDIRECT($A13),2,FALSE)</f>
        <v>/</v>
      </c>
      <c r="AA13" s="35" t="str">
        <f ca="1">VLOOKUP($AA$2,INDIRECT($A13),2,FALSE)</f>
        <v>/</v>
      </c>
      <c r="AB13" s="35" t="s">
        <v>879</v>
      </c>
      <c r="AC13" s="35" t="str">
        <f ca="1">VLOOKUP($AC$2,INDIRECT($A13),2,FALSE)</f>
        <v>/</v>
      </c>
      <c r="AD13" s="35" t="s">
        <v>879</v>
      </c>
      <c r="AE13" s="35" t="s">
        <v>879</v>
      </c>
      <c r="AF13" s="35" t="s">
        <v>879</v>
      </c>
      <c r="AG13" s="35" t="s">
        <v>879</v>
      </c>
      <c r="AH13" s="35" t="s">
        <v>879</v>
      </c>
      <c r="AI13" s="35" t="s">
        <v>879</v>
      </c>
      <c r="AJ13" t="str">
        <f t="shared" si="16"/>
        <v>CAD_INS1</v>
      </c>
      <c r="AK13">
        <f t="shared" si="17"/>
        <v>4015</v>
      </c>
    </row>
    <row r="14" spans="1:37" ht="12.75">
      <c r="A14" s="81" t="s">
        <v>1270</v>
      </c>
      <c r="B14" s="32" t="str">
        <f t="shared" si="0"/>
        <v>Ref Mtr Pkg</v>
      </c>
      <c r="C14" s="32">
        <v>2</v>
      </c>
      <c r="D14" s="33"/>
      <c r="E14" s="32" t="str">
        <f t="shared" si="1"/>
        <v>ok</v>
      </c>
      <c r="F14" s="32" t="str">
        <f ca="1">MID(VLOOKUP($F$2,INDIRECT(A14),2,FALSE),1,3)</f>
        <v>CAD</v>
      </c>
      <c r="G14" s="32" t="str">
        <f t="shared" si="3"/>
        <v>/</v>
      </c>
      <c r="H14" s="32" t="str">
        <f t="shared" si="4"/>
        <v>TBD from created superior equipment</v>
      </c>
      <c r="I14" s="35" t="s">
        <v>879</v>
      </c>
      <c r="J14" t="str">
        <f ca="1">CONCATENATE(MID(VLOOKUP($J$2,INDIRECT(A14),2,FALSE),6,99)," ",VLOOKUP($J$3,INDIRECT(A14),2,FALSE))</f>
        <v>Ref Mtr Pkg </v>
      </c>
      <c r="K14" t="str">
        <f t="shared" si="6"/>
        <v>CAD</v>
      </c>
      <c r="L14" t="str">
        <f t="shared" si="7"/>
        <v>/</v>
      </c>
      <c r="M14" s="35" t="str">
        <f t="shared" si="8"/>
        <v>TBD from created superior equipment</v>
      </c>
      <c r="N14" s="35" t="str">
        <f ca="1">VLOOKUP($N$2,INDIRECT(A14),2,FALSE)</f>
        <v>/</v>
      </c>
      <c r="O14" s="35" t="s">
        <v>879</v>
      </c>
      <c r="P14" s="35" t="s">
        <v>879</v>
      </c>
      <c r="Q14" s="35" t="s">
        <v>879</v>
      </c>
      <c r="R14" s="35" t="s">
        <v>879</v>
      </c>
      <c r="S14" s="35" t="s">
        <v>879</v>
      </c>
      <c r="T14" s="35" t="str">
        <f ca="1">MID(VLOOKUP($T$2,INDIRECT(A14),2,FALSE),1,4)</f>
        <v>4016</v>
      </c>
      <c r="U14" s="35" t="s">
        <v>879</v>
      </c>
      <c r="V14" s="35" t="s">
        <v>879</v>
      </c>
      <c r="W14" s="35" t="s">
        <v>879</v>
      </c>
      <c r="X14" s="35" t="str">
        <f ca="1">VLOOKUP($X$2,INDIRECT(A14),2,FALSE)</f>
        <v>/</v>
      </c>
      <c r="Y14" s="35" t="str">
        <f ca="1">VLOOKUP($Y$2,INDIRECT(A14),2,FALSE)</f>
        <v>/</v>
      </c>
      <c r="Z14" s="35" t="str">
        <f ca="1">VLOOKUP($Z$2,INDIRECT($A14),2,FALSE)</f>
        <v>/</v>
      </c>
      <c r="AA14" s="35" t="str">
        <f ca="1">VLOOKUP($AA$2,INDIRECT($A14),2,FALSE)</f>
        <v>/</v>
      </c>
      <c r="AB14" s="35" t="s">
        <v>879</v>
      </c>
      <c r="AC14" s="35" t="str">
        <f ca="1">VLOOKUP($AC$2,INDIRECT($A14),2,FALSE)</f>
        <v>/</v>
      </c>
      <c r="AD14" s="35" t="s">
        <v>879</v>
      </c>
      <c r="AE14" s="35" t="s">
        <v>879</v>
      </c>
      <c r="AF14" s="35" t="s">
        <v>879</v>
      </c>
      <c r="AG14" s="35" t="s">
        <v>879</v>
      </c>
      <c r="AH14" s="35" t="s">
        <v>879</v>
      </c>
      <c r="AI14" s="35" t="s">
        <v>879</v>
      </c>
      <c r="AJ14" t="str">
        <f t="shared" si="16"/>
        <v>CAD_INS1</v>
      </c>
      <c r="AK14">
        <f t="shared" si="17"/>
        <v>4016</v>
      </c>
    </row>
    <row r="15" spans="1:37" ht="12.75">
      <c r="A15" s="81" t="s">
        <v>1236</v>
      </c>
      <c r="B15" s="32" t="str">
        <f t="shared" si="0"/>
        <v>Cooler</v>
      </c>
      <c r="C15" s="32">
        <v>2</v>
      </c>
      <c r="D15" s="33"/>
      <c r="E15" s="34" t="str">
        <f t="shared" si="1"/>
        <v>ok</v>
      </c>
      <c r="F15" s="32" t="str">
        <f ca="1">MID(VLOOKUP($F$2,INDIRECT(A15),2,FALSE),1,3)</f>
        <v>CAD</v>
      </c>
      <c r="G15" s="32" t="str">
        <f t="shared" si="3"/>
        <v>/</v>
      </c>
      <c r="H15" s="34" t="str">
        <f t="shared" si="4"/>
        <v>TBD from created superior equipment</v>
      </c>
      <c r="I15" s="35" t="s">
        <v>879</v>
      </c>
      <c r="J15" s="35" t="str">
        <f ca="1">CONCATENATE(MID(VLOOKUP($J$2,INDIRECT(A15),2,FALSE),6,99)," ",VLOOKUP($J$3,INDIRECT(A15),2,FALSE))</f>
        <v>Cooler Cooler (K400)</v>
      </c>
      <c r="K15" t="str">
        <f t="shared" si="6"/>
        <v>CAD</v>
      </c>
      <c r="L15" t="str">
        <f t="shared" si="7"/>
        <v>/</v>
      </c>
      <c r="M15" s="35" t="str">
        <f t="shared" si="8"/>
        <v>TBD from created superior equipment</v>
      </c>
      <c r="N15" s="35" t="str">
        <f ca="1">VLOOKUP($N$2,INDIRECT(A15),2,FALSE)</f>
        <v>/</v>
      </c>
      <c r="O15" s="35" t="s">
        <v>879</v>
      </c>
      <c r="P15" s="35" t="s">
        <v>879</v>
      </c>
      <c r="Q15" s="35" t="s">
        <v>879</v>
      </c>
      <c r="R15" s="35" t="s">
        <v>879</v>
      </c>
      <c r="S15" s="35" t="s">
        <v>879</v>
      </c>
      <c r="T15" s="35" t="str">
        <f ca="1">MID(VLOOKUP($T$2,INDIRECT(A15),2,FALSE),1,4)</f>
        <v>4117</v>
      </c>
      <c r="U15" s="35" t="s">
        <v>879</v>
      </c>
      <c r="V15" s="35" t="s">
        <v>879</v>
      </c>
      <c r="W15" s="35" t="s">
        <v>879</v>
      </c>
      <c r="X15" s="35" t="str">
        <f ca="1">VLOOKUP($X$2,INDIRECT(A15),2,FALSE)</f>
        <v>Air-X-Changer</v>
      </c>
      <c r="Y15" s="35" t="str">
        <f ca="1">VLOOKUP($Y$2,INDIRECT(A15),2,FALSE)</f>
        <v>93AEH</v>
      </c>
      <c r="Z15" s="35" t="str">
        <f ca="1">VLOOKUP($Z$2,INDIRECT($A15),2,FALSE)</f>
        <v>G606707</v>
      </c>
      <c r="AA15" s="35">
        <f ca="1">VLOOKUP($AA$2,INDIRECT($A15),2,FALSE)</f>
        <v>885243.2</v>
      </c>
      <c r="AB15" s="35" t="s">
        <v>879</v>
      </c>
      <c r="AC15" s="35" t="str">
        <f ca="1">VLOOKUP($AC$2,INDIRECT($A15),2,FALSE)</f>
        <v>/</v>
      </c>
      <c r="AD15" s="35" t="s">
        <v>879</v>
      </c>
      <c r="AE15" s="35" t="s">
        <v>879</v>
      </c>
      <c r="AF15" s="35" t="s">
        <v>879</v>
      </c>
      <c r="AG15" s="35" t="s">
        <v>879</v>
      </c>
      <c r="AH15" s="35" t="s">
        <v>879</v>
      </c>
      <c r="AI15" s="35" t="s">
        <v>879</v>
      </c>
      <c r="AJ15" t="str">
        <f t="shared" si="16"/>
        <v>CAD_INP1</v>
      </c>
      <c r="AK15">
        <f t="shared" si="17"/>
        <v>4117</v>
      </c>
    </row>
    <row r="16" spans="1:37" ht="12.75">
      <c r="A16" s="82" t="s">
        <v>1236</v>
      </c>
      <c r="B16" s="78" t="str">
        <f t="shared" si="0"/>
        <v>Cooler</v>
      </c>
      <c r="C16" s="78">
        <v>2</v>
      </c>
      <c r="D16" s="79"/>
      <c r="E16" s="80" t="str">
        <f t="shared" si="1"/>
        <v>ok</v>
      </c>
      <c r="F16" s="78" t="str">
        <f ca="1">MID(VLOOKUP($F$2,INDIRECT(A16),3,FALSE),1,3)</f>
        <v>CAD</v>
      </c>
      <c r="G16" s="78" t="str">
        <f t="shared" si="3"/>
        <v>/</v>
      </c>
      <c r="H16" s="80" t="str">
        <f t="shared" si="4"/>
        <v>TBD from created superior equipment</v>
      </c>
      <c r="I16" s="80" t="s">
        <v>879</v>
      </c>
      <c r="J16" s="80" t="str">
        <f ca="1">CONCATENATE(MID(VLOOKUP($J$2,INDIRECT(A16),3,FALSE),6,99)," ",VLOOKUP($J$3,INDIRECT(A16),3,FALSE))</f>
        <v>Cooler Cooler (K400)</v>
      </c>
      <c r="K16" s="78" t="str">
        <f t="shared" si="6"/>
        <v>CAD</v>
      </c>
      <c r="L16" s="78" t="str">
        <f t="shared" si="7"/>
        <v>/</v>
      </c>
      <c r="M16" s="80" t="str">
        <f t="shared" si="8"/>
        <v>TBD from created superior equipment</v>
      </c>
      <c r="N16" s="80" t="str">
        <f ca="1">VLOOKUP($N$2,INDIRECT(A16),3,FALSE)</f>
        <v>/</v>
      </c>
      <c r="O16" s="80" t="s">
        <v>879</v>
      </c>
      <c r="P16" s="80" t="s">
        <v>879</v>
      </c>
      <c r="Q16" s="80" t="s">
        <v>879</v>
      </c>
      <c r="R16" s="80" t="s">
        <v>879</v>
      </c>
      <c r="S16" s="80" t="s">
        <v>879</v>
      </c>
      <c r="T16" s="80" t="str">
        <f ca="1">MID(VLOOKUP($T$2,INDIRECT(A16),3,FALSE),1,4)</f>
        <v>4117</v>
      </c>
      <c r="U16" s="80" t="s">
        <v>879</v>
      </c>
      <c r="V16" s="80" t="s">
        <v>879</v>
      </c>
      <c r="W16" s="80" t="s">
        <v>879</v>
      </c>
      <c r="X16" s="80" t="str">
        <f ca="1">VLOOKUP($X$2,INDIRECT(A16),3,FALSE)</f>
        <v>Air-X-Changer</v>
      </c>
      <c r="Y16" s="80" t="str">
        <f ca="1">VLOOKUP($Y$2,INDIRECT(A16),3,FALSE)</f>
        <v>93AEH</v>
      </c>
      <c r="Z16" s="80" t="str">
        <f ca="1">VLOOKUP($Z$2,INDIRECT($A16),3,FALSE)</f>
        <v>G607732</v>
      </c>
      <c r="AA16" s="80">
        <f ca="1">VLOOKUP($AA$2,INDIRECT($A16),3,FALSE)</f>
        <v>885243.3</v>
      </c>
      <c r="AB16" s="80" t="s">
        <v>879</v>
      </c>
      <c r="AC16" s="80" t="str">
        <f ca="1">VLOOKUP($AC$2,INDIRECT($A16),3,FALSE)</f>
        <v>/</v>
      </c>
      <c r="AD16" s="80" t="s">
        <v>879</v>
      </c>
      <c r="AE16" s="80" t="s">
        <v>879</v>
      </c>
      <c r="AF16" s="80" t="s">
        <v>879</v>
      </c>
      <c r="AG16" s="80" t="s">
        <v>879</v>
      </c>
      <c r="AH16" s="80" t="s">
        <v>879</v>
      </c>
      <c r="AI16" s="80" t="s">
        <v>879</v>
      </c>
      <c r="AJ16" s="78" t="str">
        <f t="shared" si="16"/>
        <v>CAD_INP1</v>
      </c>
      <c r="AK16" s="78">
        <f t="shared" si="17"/>
        <v>4117</v>
      </c>
    </row>
    <row r="17" spans="1:37" ht="12.75">
      <c r="A17" s="81" t="s">
        <v>1241</v>
      </c>
      <c r="B17" s="32" t="str">
        <f t="shared" si="0"/>
        <v>Turbine Gas</v>
      </c>
      <c r="C17" s="32">
        <v>2</v>
      </c>
      <c r="D17" s="33"/>
      <c r="E17" s="34" t="str">
        <f t="shared" si="1"/>
        <v>ok</v>
      </c>
      <c r="F17" s="32" t="str">
        <f aca="true" ca="1" t="shared" si="18" ref="F17:F25">MID(VLOOKUP($F$2,INDIRECT(A17),2,FALSE),1,3)</f>
        <v>CAD</v>
      </c>
      <c r="G17" s="32" t="str">
        <f t="shared" si="3"/>
        <v>/</v>
      </c>
      <c r="H17" s="34" t="str">
        <f t="shared" si="4"/>
        <v>TBD from created superior equipment</v>
      </c>
      <c r="I17" s="35" t="s">
        <v>879</v>
      </c>
      <c r="J17" s="35" t="str">
        <f aca="true" ca="1" t="shared" si="19" ref="J17:J25">CONCATENATE(MID(VLOOKUP($J$2,INDIRECT(A17),2,FALSE),6,99)," ",VLOOKUP($J$3,INDIRECT(A17),2,FALSE))</f>
        <v>Turbine Gas </v>
      </c>
      <c r="K17" t="str">
        <f t="shared" si="6"/>
        <v>CAD</v>
      </c>
      <c r="L17" t="str">
        <f t="shared" si="7"/>
        <v>/</v>
      </c>
      <c r="M17" s="35" t="str">
        <f t="shared" si="8"/>
        <v>TBD from created superior equipment</v>
      </c>
      <c r="N17" s="35" t="str">
        <f aca="true" ca="1" t="shared" si="20" ref="N17:N25">VLOOKUP($N$2,INDIRECT(A17),2,FALSE)</f>
        <v>/</v>
      </c>
      <c r="O17" s="35" t="s">
        <v>879</v>
      </c>
      <c r="P17" s="35" t="s">
        <v>879</v>
      </c>
      <c r="Q17" s="35" t="s">
        <v>879</v>
      </c>
      <c r="R17" s="35" t="s">
        <v>879</v>
      </c>
      <c r="S17" s="35" t="s">
        <v>879</v>
      </c>
      <c r="T17" s="35" t="str">
        <f aca="true" ca="1" t="shared" si="21" ref="T17:T25">MID(VLOOKUP($T$2,INDIRECT(A17),2,FALSE),1,4)</f>
        <v>8401</v>
      </c>
      <c r="U17" s="35" t="s">
        <v>879</v>
      </c>
      <c r="V17" s="35" t="s">
        <v>879</v>
      </c>
      <c r="W17" s="35" t="s">
        <v>879</v>
      </c>
      <c r="X17" s="35" t="str">
        <f aca="true" ca="1" t="shared" si="22" ref="X17:X25">VLOOKUP($X$2,INDIRECT(A17),2,FALSE)</f>
        <v>/</v>
      </c>
      <c r="Y17" s="35" t="str">
        <f aca="true" ca="1" t="shared" si="23" ref="Y17:Y25">VLOOKUP($Y$2,INDIRECT(A17),2,FALSE)</f>
        <v>/</v>
      </c>
      <c r="Z17" s="35" t="str">
        <f aca="true" ca="1" t="shared" si="24" ref="Z17:Z25">VLOOKUP($Z$2,INDIRECT($A17),2,FALSE)</f>
        <v>/</v>
      </c>
      <c r="AA17" s="35" t="str">
        <f aca="true" ca="1" t="shared" si="25" ref="AA17:AA25">VLOOKUP($AA$2,INDIRECT($A17),2,FALSE)</f>
        <v>/</v>
      </c>
      <c r="AB17" s="35" t="s">
        <v>879</v>
      </c>
      <c r="AC17" s="35" t="str">
        <f aca="true" ca="1" t="shared" si="26" ref="AC17:AC25">VLOOKUP($AC$2,INDIRECT($A17),2,FALSE)</f>
        <v>/</v>
      </c>
      <c r="AD17" s="35" t="s">
        <v>879</v>
      </c>
      <c r="AE17" s="35" t="s">
        <v>879</v>
      </c>
      <c r="AF17" s="35" t="s">
        <v>879</v>
      </c>
      <c r="AG17" s="35" t="s">
        <v>879</v>
      </c>
      <c r="AH17" s="35" t="s">
        <v>879</v>
      </c>
      <c r="AI17" s="35" t="s">
        <v>879</v>
      </c>
      <c r="AJ17" t="str">
        <f t="shared" si="16"/>
        <v>CAD_MEC1</v>
      </c>
      <c r="AK17">
        <f t="shared" si="17"/>
        <v>8401</v>
      </c>
    </row>
    <row r="18" spans="1:37" ht="12.75">
      <c r="A18" s="81" t="s">
        <v>1269</v>
      </c>
      <c r="B18" s="32" t="str">
        <f t="shared" si="0"/>
        <v>Turbine Steam</v>
      </c>
      <c r="C18" s="32">
        <v>2</v>
      </c>
      <c r="D18" s="33"/>
      <c r="E18" s="32" t="str">
        <f t="shared" si="1"/>
        <v>ok</v>
      </c>
      <c r="F18" s="32" t="str">
        <f ca="1" t="shared" si="18"/>
        <v>CAD</v>
      </c>
      <c r="G18" s="32" t="str">
        <f t="shared" si="3"/>
        <v>/</v>
      </c>
      <c r="H18" s="32" t="str">
        <f t="shared" si="4"/>
        <v>TBD from created superior equipment</v>
      </c>
      <c r="I18" s="35" t="s">
        <v>879</v>
      </c>
      <c r="J18" t="str">
        <f ca="1" t="shared" si="19"/>
        <v>Turbine Steam </v>
      </c>
      <c r="K18" t="str">
        <f t="shared" si="6"/>
        <v>CAD</v>
      </c>
      <c r="L18" t="str">
        <f t="shared" si="7"/>
        <v>/</v>
      </c>
      <c r="M18" s="35" t="str">
        <f t="shared" si="8"/>
        <v>TBD from created superior equipment</v>
      </c>
      <c r="N18" s="35" t="str">
        <f ca="1" t="shared" si="20"/>
        <v>/</v>
      </c>
      <c r="O18" s="35" t="s">
        <v>879</v>
      </c>
      <c r="P18" s="35" t="s">
        <v>879</v>
      </c>
      <c r="Q18" s="35" t="s">
        <v>879</v>
      </c>
      <c r="R18" s="35" t="s">
        <v>879</v>
      </c>
      <c r="S18" s="35" t="s">
        <v>879</v>
      </c>
      <c r="T18" s="35" t="str">
        <f ca="1" t="shared" si="21"/>
        <v>8402</v>
      </c>
      <c r="U18" s="35" t="s">
        <v>879</v>
      </c>
      <c r="V18" s="35" t="s">
        <v>879</v>
      </c>
      <c r="W18" s="35" t="s">
        <v>879</v>
      </c>
      <c r="X18" s="35" t="str">
        <f ca="1" t="shared" si="22"/>
        <v>/</v>
      </c>
      <c r="Y18" s="35" t="str">
        <f ca="1" t="shared" si="23"/>
        <v>/</v>
      </c>
      <c r="Z18" s="35" t="str">
        <f ca="1" t="shared" si="24"/>
        <v>/</v>
      </c>
      <c r="AA18" s="35" t="str">
        <f ca="1" t="shared" si="25"/>
        <v>/</v>
      </c>
      <c r="AB18" s="35" t="s">
        <v>879</v>
      </c>
      <c r="AC18" s="35" t="str">
        <f ca="1" t="shared" si="26"/>
        <v>/</v>
      </c>
      <c r="AD18" s="35" t="s">
        <v>879</v>
      </c>
      <c r="AE18" s="35" t="s">
        <v>879</v>
      </c>
      <c r="AF18" s="35" t="s">
        <v>879</v>
      </c>
      <c r="AG18" s="35" t="s">
        <v>879</v>
      </c>
      <c r="AH18" s="35" t="s">
        <v>879</v>
      </c>
      <c r="AI18" s="35" t="s">
        <v>879</v>
      </c>
      <c r="AJ18" t="str">
        <f t="shared" si="16"/>
        <v>CAD_MEC1</v>
      </c>
      <c r="AK18">
        <f t="shared" si="17"/>
        <v>8402</v>
      </c>
    </row>
    <row r="19" spans="1:37" ht="12.75">
      <c r="A19" s="81" t="s">
        <v>1243</v>
      </c>
      <c r="B19" s="32" t="str">
        <f t="shared" si="0"/>
        <v>Vessel</v>
      </c>
      <c r="C19" s="32">
        <v>2</v>
      </c>
      <c r="D19" s="33"/>
      <c r="E19" s="34" t="str">
        <f t="shared" si="1"/>
        <v>ok</v>
      </c>
      <c r="F19" s="32" t="str">
        <f ca="1" t="shared" si="18"/>
        <v>CAD</v>
      </c>
      <c r="G19" s="32" t="str">
        <f t="shared" si="3"/>
        <v>/</v>
      </c>
      <c r="H19" s="34" t="str">
        <f t="shared" si="4"/>
        <v>TBD from created superior equipment</v>
      </c>
      <c r="I19" s="35" t="s">
        <v>879</v>
      </c>
      <c r="J19" s="35" t="str">
        <f ca="1" t="shared" si="19"/>
        <v>Vessel Coalescr </v>
      </c>
      <c r="K19" t="str">
        <f t="shared" si="6"/>
        <v>CAD</v>
      </c>
      <c r="L19" t="str">
        <f t="shared" si="7"/>
        <v>/</v>
      </c>
      <c r="M19" s="35" t="str">
        <f t="shared" si="8"/>
        <v>TBD from created superior equipment</v>
      </c>
      <c r="N19" s="35" t="str">
        <f ca="1" t="shared" si="20"/>
        <v>/</v>
      </c>
      <c r="O19" s="35" t="s">
        <v>879</v>
      </c>
      <c r="P19" s="35" t="s">
        <v>879</v>
      </c>
      <c r="Q19" s="35" t="s">
        <v>879</v>
      </c>
      <c r="R19" s="35" t="s">
        <v>879</v>
      </c>
      <c r="S19" s="35" t="s">
        <v>879</v>
      </c>
      <c r="T19" s="35" t="str">
        <f ca="1" t="shared" si="21"/>
        <v>9517</v>
      </c>
      <c r="U19" s="35" t="s">
        <v>879</v>
      </c>
      <c r="V19" s="35" t="s">
        <v>879</v>
      </c>
      <c r="W19" s="35" t="s">
        <v>879</v>
      </c>
      <c r="X19" s="35" t="str">
        <f ca="1" t="shared" si="22"/>
        <v>/</v>
      </c>
      <c r="Y19" s="35" t="str">
        <f ca="1" t="shared" si="23"/>
        <v>/</v>
      </c>
      <c r="Z19" s="35" t="str">
        <f ca="1" t="shared" si="24"/>
        <v>/</v>
      </c>
      <c r="AA19" s="35" t="str">
        <f ca="1" t="shared" si="25"/>
        <v>/</v>
      </c>
      <c r="AB19" s="35" t="s">
        <v>879</v>
      </c>
      <c r="AC19" s="35" t="str">
        <f ca="1" t="shared" si="26"/>
        <v>/</v>
      </c>
      <c r="AD19" s="35" t="s">
        <v>879</v>
      </c>
      <c r="AE19" s="35" t="s">
        <v>879</v>
      </c>
      <c r="AF19" s="35" t="s">
        <v>879</v>
      </c>
      <c r="AG19" s="35" t="s">
        <v>879</v>
      </c>
      <c r="AH19" s="35" t="s">
        <v>879</v>
      </c>
      <c r="AI19" s="35" t="s">
        <v>879</v>
      </c>
      <c r="AJ19" t="str">
        <f t="shared" si="16"/>
        <v>CAD_INP1</v>
      </c>
      <c r="AK19" t="str">
        <f t="shared" si="17"/>
        <v>9517</v>
      </c>
    </row>
    <row r="20" spans="1:37" ht="12.75">
      <c r="A20" s="81" t="s">
        <v>1244</v>
      </c>
      <c r="B20" s="32" t="str">
        <f t="shared" si="0"/>
        <v>Separator</v>
      </c>
      <c r="C20" s="32">
        <v>2</v>
      </c>
      <c r="D20" s="33"/>
      <c r="E20" s="34" t="str">
        <f t="shared" si="1"/>
        <v>ok</v>
      </c>
      <c r="F20" s="32" t="str">
        <f ca="1" t="shared" si="18"/>
        <v>CAD</v>
      </c>
      <c r="G20" s="32" t="str">
        <f t="shared" si="3"/>
        <v>/</v>
      </c>
      <c r="H20" s="34" t="str">
        <f t="shared" si="4"/>
        <v>TBD from created superior equipment</v>
      </c>
      <c r="I20" s="35" t="s">
        <v>879</v>
      </c>
      <c r="J20" s="35" t="str">
        <f ca="1" t="shared" si="19"/>
        <v>Separator </v>
      </c>
      <c r="K20" t="str">
        <f t="shared" si="6"/>
        <v>CAD</v>
      </c>
      <c r="L20" t="str">
        <f t="shared" si="7"/>
        <v>/</v>
      </c>
      <c r="M20" s="35" t="str">
        <f t="shared" si="8"/>
        <v>TBD from created superior equipment</v>
      </c>
      <c r="N20" s="35" t="str">
        <f ca="1" t="shared" si="20"/>
        <v>/</v>
      </c>
      <c r="O20" s="35" t="s">
        <v>879</v>
      </c>
      <c r="P20" s="35" t="s">
        <v>879</v>
      </c>
      <c r="Q20" s="35" t="s">
        <v>879</v>
      </c>
      <c r="R20" s="35" t="s">
        <v>879</v>
      </c>
      <c r="S20" s="35" t="s">
        <v>879</v>
      </c>
      <c r="T20" s="35" t="str">
        <f ca="1" t="shared" si="21"/>
        <v>9526</v>
      </c>
      <c r="U20" s="35" t="s">
        <v>879</v>
      </c>
      <c r="V20" s="35" t="s">
        <v>879</v>
      </c>
      <c r="W20" s="35" t="s">
        <v>879</v>
      </c>
      <c r="X20" s="35" t="str">
        <f ca="1" t="shared" si="22"/>
        <v>/</v>
      </c>
      <c r="Y20" s="35" t="str">
        <f ca="1" t="shared" si="23"/>
        <v>/</v>
      </c>
      <c r="Z20" s="35" t="str">
        <f ca="1" t="shared" si="24"/>
        <v>/</v>
      </c>
      <c r="AA20" s="35" t="str">
        <f ca="1" t="shared" si="25"/>
        <v>/</v>
      </c>
      <c r="AB20" s="35" t="s">
        <v>879</v>
      </c>
      <c r="AC20" s="35" t="str">
        <f ca="1" t="shared" si="26"/>
        <v>/</v>
      </c>
      <c r="AD20" s="35" t="s">
        <v>879</v>
      </c>
      <c r="AE20" s="35" t="s">
        <v>879</v>
      </c>
      <c r="AF20" s="35" t="s">
        <v>879</v>
      </c>
      <c r="AG20" s="35" t="s">
        <v>879</v>
      </c>
      <c r="AH20" s="35" t="s">
        <v>879</v>
      </c>
      <c r="AI20" s="35" t="s">
        <v>879</v>
      </c>
      <c r="AJ20" t="str">
        <f t="shared" si="16"/>
        <v>CAD_INP1</v>
      </c>
      <c r="AK20" t="str">
        <f t="shared" si="17"/>
        <v>9526</v>
      </c>
    </row>
    <row r="21" spans="1:37" ht="12.75">
      <c r="A21" s="81" t="s">
        <v>1245</v>
      </c>
      <c r="B21" s="32" t="str">
        <f t="shared" si="0"/>
        <v>Vessel Filter</v>
      </c>
      <c r="C21" s="32">
        <v>2</v>
      </c>
      <c r="D21" s="33"/>
      <c r="E21" s="34" t="str">
        <f t="shared" si="1"/>
        <v>ok</v>
      </c>
      <c r="F21" s="32" t="str">
        <f ca="1" t="shared" si="18"/>
        <v>CAD</v>
      </c>
      <c r="G21" s="32" t="str">
        <f t="shared" si="3"/>
        <v>/</v>
      </c>
      <c r="H21" s="34" t="str">
        <f t="shared" si="4"/>
        <v>TBD from created superior equipment</v>
      </c>
      <c r="I21" s="35" t="s">
        <v>879</v>
      </c>
      <c r="J21" s="35" t="str">
        <f ca="1" t="shared" si="19"/>
        <v>Vessel Filter </v>
      </c>
      <c r="K21" t="str">
        <f t="shared" si="6"/>
        <v>CAD</v>
      </c>
      <c r="L21" t="str">
        <f t="shared" si="7"/>
        <v>/</v>
      </c>
      <c r="M21" s="35" t="str">
        <f t="shared" si="8"/>
        <v>TBD from created superior equipment</v>
      </c>
      <c r="N21" s="35" t="str">
        <f ca="1" t="shared" si="20"/>
        <v>/</v>
      </c>
      <c r="O21" s="35" t="s">
        <v>879</v>
      </c>
      <c r="P21" s="35" t="s">
        <v>879</v>
      </c>
      <c r="Q21" s="35" t="s">
        <v>879</v>
      </c>
      <c r="R21" s="35" t="s">
        <v>879</v>
      </c>
      <c r="S21" s="35" t="s">
        <v>879</v>
      </c>
      <c r="T21" s="35" t="str">
        <f ca="1" t="shared" si="21"/>
        <v>9527</v>
      </c>
      <c r="U21" s="35" t="s">
        <v>879</v>
      </c>
      <c r="V21" s="35" t="s">
        <v>879</v>
      </c>
      <c r="W21" s="35" t="s">
        <v>879</v>
      </c>
      <c r="X21" s="35" t="str">
        <f ca="1" t="shared" si="22"/>
        <v>/</v>
      </c>
      <c r="Y21" s="35" t="str">
        <f ca="1" t="shared" si="23"/>
        <v>/</v>
      </c>
      <c r="Z21" s="35" t="str">
        <f ca="1" t="shared" si="24"/>
        <v>/</v>
      </c>
      <c r="AA21" s="35" t="str">
        <f ca="1" t="shared" si="25"/>
        <v>/</v>
      </c>
      <c r="AB21" s="35" t="s">
        <v>879</v>
      </c>
      <c r="AC21" s="35" t="str">
        <f ca="1" t="shared" si="26"/>
        <v>/</v>
      </c>
      <c r="AD21" s="35" t="s">
        <v>879</v>
      </c>
      <c r="AE21" s="35" t="s">
        <v>879</v>
      </c>
      <c r="AF21" s="35" t="s">
        <v>879</v>
      </c>
      <c r="AG21" s="35" t="s">
        <v>879</v>
      </c>
      <c r="AH21" s="35" t="s">
        <v>879</v>
      </c>
      <c r="AI21" s="35" t="s">
        <v>879</v>
      </c>
      <c r="AJ21" t="str">
        <f t="shared" si="16"/>
        <v>CAD_CRE1</v>
      </c>
      <c r="AK21" t="str">
        <f t="shared" si="17"/>
        <v>9527</v>
      </c>
    </row>
    <row r="22" spans="1:37" ht="12.75">
      <c r="A22" s="81" t="s">
        <v>1221</v>
      </c>
      <c r="B22" s="32" t="str">
        <f t="shared" si="0"/>
        <v>Blow Case</v>
      </c>
      <c r="C22" s="32">
        <v>3</v>
      </c>
      <c r="D22" s="33"/>
      <c r="E22" s="34" t="str">
        <f t="shared" si="1"/>
        <v>ok</v>
      </c>
      <c r="F22" s="32" t="str">
        <f ca="1" t="shared" si="18"/>
        <v>CAD</v>
      </c>
      <c r="G22" s="32" t="str">
        <f t="shared" si="3"/>
        <v>/</v>
      </c>
      <c r="H22" s="34" t="str">
        <f t="shared" si="4"/>
        <v>TBD from created superior equipment</v>
      </c>
      <c r="I22" s="35" t="s">
        <v>879</v>
      </c>
      <c r="J22" s="35" t="str">
        <f ca="1" t="shared" si="19"/>
        <v>Blow Case </v>
      </c>
      <c r="K22" t="str">
        <f t="shared" si="6"/>
        <v>CAD</v>
      </c>
      <c r="L22" t="str">
        <f t="shared" si="7"/>
        <v>/</v>
      </c>
      <c r="M22" s="35" t="str">
        <f t="shared" si="8"/>
        <v>TBD from created superior equipment</v>
      </c>
      <c r="N22" s="35" t="str">
        <f ca="1" t="shared" si="20"/>
        <v>/</v>
      </c>
      <c r="O22" s="35" t="s">
        <v>879</v>
      </c>
      <c r="P22" s="35" t="s">
        <v>879</v>
      </c>
      <c r="Q22" s="35" t="s">
        <v>879</v>
      </c>
      <c r="R22" s="35" t="s">
        <v>879</v>
      </c>
      <c r="S22" s="35" t="s">
        <v>879</v>
      </c>
      <c r="T22" s="35" t="str">
        <f ca="1" t="shared" si="21"/>
        <v>1210</v>
      </c>
      <c r="U22" s="35" t="s">
        <v>879</v>
      </c>
      <c r="V22" s="35" t="s">
        <v>879</v>
      </c>
      <c r="W22" s="35" t="s">
        <v>879</v>
      </c>
      <c r="X22" s="35" t="str">
        <f ca="1" t="shared" si="22"/>
        <v>/</v>
      </c>
      <c r="Y22" s="35" t="str">
        <f ca="1" t="shared" si="23"/>
        <v>/</v>
      </c>
      <c r="Z22" s="35" t="str">
        <f ca="1" t="shared" si="24"/>
        <v>/</v>
      </c>
      <c r="AA22" s="35" t="str">
        <f ca="1" t="shared" si="25"/>
        <v>/</v>
      </c>
      <c r="AB22" s="35" t="s">
        <v>879</v>
      </c>
      <c r="AC22" s="35" t="str">
        <f ca="1" t="shared" si="26"/>
        <v>/</v>
      </c>
      <c r="AD22" s="35" t="s">
        <v>879</v>
      </c>
      <c r="AE22" s="35" t="s">
        <v>879</v>
      </c>
      <c r="AF22" s="35" t="s">
        <v>879</v>
      </c>
      <c r="AG22" s="35" t="s">
        <v>879</v>
      </c>
      <c r="AH22" s="35" t="s">
        <v>879</v>
      </c>
      <c r="AI22" s="35" t="s">
        <v>879</v>
      </c>
      <c r="AJ22" t="str">
        <f t="shared" si="16"/>
        <v>CAD_INP1</v>
      </c>
      <c r="AK22">
        <f t="shared" si="17"/>
        <v>1210</v>
      </c>
    </row>
    <row r="23" spans="1:37" ht="12.75">
      <c r="A23" s="81" t="s">
        <v>1272</v>
      </c>
      <c r="B23" s="32" t="str">
        <f t="shared" si="0"/>
        <v>Crane</v>
      </c>
      <c r="C23" s="32">
        <v>3</v>
      </c>
      <c r="D23" s="33"/>
      <c r="E23" s="32" t="str">
        <f t="shared" si="1"/>
        <v>ok</v>
      </c>
      <c r="F23" s="32" t="str">
        <f ca="1" t="shared" si="18"/>
        <v>CAD</v>
      </c>
      <c r="G23" s="32" t="str">
        <f t="shared" si="3"/>
        <v>/</v>
      </c>
      <c r="H23" s="32" t="str">
        <f t="shared" si="4"/>
        <v>TBD from created superior equipment</v>
      </c>
      <c r="I23" s="35" t="s">
        <v>879</v>
      </c>
      <c r="J23" t="str">
        <f ca="1" t="shared" si="19"/>
        <v>Crane </v>
      </c>
      <c r="K23" t="str">
        <f t="shared" si="6"/>
        <v>CAD</v>
      </c>
      <c r="L23" t="str">
        <f t="shared" si="7"/>
        <v>/</v>
      </c>
      <c r="M23" s="35" t="str">
        <f t="shared" si="8"/>
        <v>TBD from created superior equipment</v>
      </c>
      <c r="N23" s="35" t="str">
        <f ca="1" t="shared" si="20"/>
        <v>/</v>
      </c>
      <c r="O23" s="35" t="s">
        <v>879</v>
      </c>
      <c r="P23" s="35" t="s">
        <v>879</v>
      </c>
      <c r="Q23" s="35" t="s">
        <v>879</v>
      </c>
      <c r="R23" s="35" t="s">
        <v>879</v>
      </c>
      <c r="S23" s="35" t="s">
        <v>879</v>
      </c>
      <c r="T23" s="35" t="str">
        <f ca="1" t="shared" si="21"/>
        <v>1902</v>
      </c>
      <c r="U23" s="35" t="s">
        <v>879</v>
      </c>
      <c r="V23" s="35" t="s">
        <v>879</v>
      </c>
      <c r="W23" s="35" t="s">
        <v>879</v>
      </c>
      <c r="X23" s="35" t="str">
        <f ca="1" t="shared" si="22"/>
        <v>/</v>
      </c>
      <c r="Y23" s="35" t="str">
        <f ca="1" t="shared" si="23"/>
        <v>/</v>
      </c>
      <c r="Z23" s="35" t="str">
        <f ca="1" t="shared" si="24"/>
        <v>/</v>
      </c>
      <c r="AA23" s="35" t="str">
        <f ca="1" t="shared" si="25"/>
        <v>/</v>
      </c>
      <c r="AB23" s="35" t="s">
        <v>879</v>
      </c>
      <c r="AC23" s="35" t="str">
        <f ca="1" t="shared" si="26"/>
        <v>/</v>
      </c>
      <c r="AD23" s="35" t="s">
        <v>879</v>
      </c>
      <c r="AE23" s="35" t="s">
        <v>879</v>
      </c>
      <c r="AF23" s="35" t="s">
        <v>879</v>
      </c>
      <c r="AG23" s="35" t="s">
        <v>879</v>
      </c>
      <c r="AH23" s="35" t="s">
        <v>879</v>
      </c>
      <c r="AI23" s="35" t="s">
        <v>879</v>
      </c>
      <c r="AJ23" t="str">
        <f t="shared" si="16"/>
        <v>CAD_SER1</v>
      </c>
      <c r="AK23" t="str">
        <f t="shared" si="17"/>
        <v>1902</v>
      </c>
    </row>
    <row r="24" spans="1:37" ht="12.75">
      <c r="A24" s="81" t="s">
        <v>1271</v>
      </c>
      <c r="B24" s="32" t="str">
        <f t="shared" si="0"/>
        <v>Variable Speed Drive</v>
      </c>
      <c r="C24" s="32">
        <v>3</v>
      </c>
      <c r="D24" s="33"/>
      <c r="E24" s="32" t="str">
        <f t="shared" si="1"/>
        <v>ok</v>
      </c>
      <c r="F24" s="32" t="str">
        <f ca="1" t="shared" si="18"/>
        <v>CAD</v>
      </c>
      <c r="G24" s="32" t="str">
        <f t="shared" si="3"/>
        <v>/</v>
      </c>
      <c r="H24" s="32" t="str">
        <f t="shared" si="4"/>
        <v>TBD from created superior equipment</v>
      </c>
      <c r="I24" s="35" t="s">
        <v>879</v>
      </c>
      <c r="J24" t="str">
        <f ca="1" t="shared" si="19"/>
        <v>Variable Speed Drive </v>
      </c>
      <c r="K24" t="str">
        <f t="shared" si="6"/>
        <v>CAD</v>
      </c>
      <c r="L24" t="str">
        <f t="shared" si="7"/>
        <v>/</v>
      </c>
      <c r="M24" s="35" t="str">
        <f t="shared" si="8"/>
        <v>TBD from created superior equipment</v>
      </c>
      <c r="N24" s="35" t="str">
        <f ca="1" t="shared" si="20"/>
        <v>/</v>
      </c>
      <c r="O24" s="35" t="s">
        <v>879</v>
      </c>
      <c r="P24" s="35" t="s">
        <v>879</v>
      </c>
      <c r="Q24" s="35" t="s">
        <v>879</v>
      </c>
      <c r="R24" s="35" t="s">
        <v>879</v>
      </c>
      <c r="S24" s="35" t="s">
        <v>879</v>
      </c>
      <c r="T24" s="35" t="str">
        <f ca="1" t="shared" si="21"/>
        <v>2832</v>
      </c>
      <c r="U24" s="35" t="s">
        <v>879</v>
      </c>
      <c r="V24" s="35" t="s">
        <v>879</v>
      </c>
      <c r="W24" s="35" t="s">
        <v>879</v>
      </c>
      <c r="X24" s="35" t="str">
        <f ca="1" t="shared" si="22"/>
        <v>/</v>
      </c>
      <c r="Y24" s="35" t="str">
        <f ca="1" t="shared" si="23"/>
        <v>/</v>
      </c>
      <c r="Z24" s="35" t="str">
        <f ca="1" t="shared" si="24"/>
        <v>/</v>
      </c>
      <c r="AA24" s="35" t="str">
        <f ca="1" t="shared" si="25"/>
        <v>/</v>
      </c>
      <c r="AB24" s="35" t="s">
        <v>879</v>
      </c>
      <c r="AC24" s="35" t="str">
        <f ca="1" t="shared" si="26"/>
        <v>/</v>
      </c>
      <c r="AD24" s="35" t="s">
        <v>879</v>
      </c>
      <c r="AE24" s="35" t="s">
        <v>879</v>
      </c>
      <c r="AF24" s="35" t="s">
        <v>879</v>
      </c>
      <c r="AG24" s="35" t="s">
        <v>879</v>
      </c>
      <c r="AH24" s="35" t="s">
        <v>879</v>
      </c>
      <c r="AI24" s="35" t="s">
        <v>879</v>
      </c>
      <c r="AJ24" t="str">
        <f t="shared" si="16"/>
        <v>CAD_ELE1</v>
      </c>
      <c r="AK24">
        <f t="shared" si="17"/>
        <v>2832</v>
      </c>
    </row>
    <row r="25" spans="1:37" ht="12.75">
      <c r="A25" s="81" t="s">
        <v>1276</v>
      </c>
      <c r="B25" s="32" t="str">
        <f t="shared" si="0"/>
        <v>Heater Electric</v>
      </c>
      <c r="C25" s="32">
        <v>3</v>
      </c>
      <c r="D25" s="33"/>
      <c r="E25" s="32" t="str">
        <f t="shared" si="1"/>
        <v>ok</v>
      </c>
      <c r="F25" s="32" t="str">
        <f ca="1" t="shared" si="18"/>
        <v>CAD</v>
      </c>
      <c r="G25" s="32" t="str">
        <f t="shared" si="3"/>
        <v>/</v>
      </c>
      <c r="H25" s="32" t="str">
        <f t="shared" si="4"/>
        <v>TBD from created superior equipment</v>
      </c>
      <c r="I25" s="35" t="s">
        <v>879</v>
      </c>
      <c r="J25" t="str">
        <f ca="1" t="shared" si="19"/>
        <v>Heater Electric </v>
      </c>
      <c r="K25" t="str">
        <f t="shared" si="6"/>
        <v>CAD</v>
      </c>
      <c r="L25" t="str">
        <f t="shared" si="7"/>
        <v>/</v>
      </c>
      <c r="M25" s="35" t="str">
        <f t="shared" si="8"/>
        <v>TBD from created superior equipment</v>
      </c>
      <c r="N25" s="35" t="str">
        <f ca="1" t="shared" si="20"/>
        <v>/</v>
      </c>
      <c r="O25" s="35" t="s">
        <v>879</v>
      </c>
      <c r="P25" s="35" t="s">
        <v>879</v>
      </c>
      <c r="Q25" s="35" t="s">
        <v>879</v>
      </c>
      <c r="R25" s="35" t="s">
        <v>879</v>
      </c>
      <c r="S25" s="35" t="s">
        <v>879</v>
      </c>
      <c r="T25" s="35" t="str">
        <f ca="1" t="shared" si="21"/>
        <v>2903</v>
      </c>
      <c r="U25" s="35" t="s">
        <v>879</v>
      </c>
      <c r="V25" s="35" t="s">
        <v>879</v>
      </c>
      <c r="W25" s="35" t="s">
        <v>879</v>
      </c>
      <c r="X25" s="35" t="str">
        <f ca="1" t="shared" si="22"/>
        <v>/</v>
      </c>
      <c r="Y25" s="35" t="str">
        <f ca="1" t="shared" si="23"/>
        <v>/</v>
      </c>
      <c r="Z25" s="35" t="str">
        <f ca="1" t="shared" si="24"/>
        <v>/</v>
      </c>
      <c r="AA25" s="35" t="str">
        <f ca="1" t="shared" si="25"/>
        <v>/</v>
      </c>
      <c r="AB25" s="35" t="s">
        <v>879</v>
      </c>
      <c r="AC25" s="35" t="str">
        <f ca="1" t="shared" si="26"/>
        <v>/</v>
      </c>
      <c r="AD25" s="35" t="s">
        <v>879</v>
      </c>
      <c r="AE25" s="35" t="s">
        <v>879</v>
      </c>
      <c r="AF25" s="35" t="s">
        <v>879</v>
      </c>
      <c r="AG25" s="35" t="s">
        <v>879</v>
      </c>
      <c r="AH25" s="35" t="s">
        <v>879</v>
      </c>
      <c r="AI25" s="35" t="s">
        <v>879</v>
      </c>
      <c r="AJ25" t="str">
        <f t="shared" si="16"/>
        <v>CAD_ELE1</v>
      </c>
      <c r="AK25">
        <f t="shared" si="17"/>
        <v>2903</v>
      </c>
    </row>
    <row r="26" spans="1:37" ht="12.75">
      <c r="A26" s="82" t="s">
        <v>1250</v>
      </c>
      <c r="B26" s="78" t="str">
        <f t="shared" si="0"/>
        <v>Motor AC</v>
      </c>
      <c r="C26" s="78">
        <v>3</v>
      </c>
      <c r="D26" s="79"/>
      <c r="E26" s="80" t="str">
        <f t="shared" si="1"/>
        <v>ok</v>
      </c>
      <c r="F26" s="78" t="str">
        <f ca="1">MID(VLOOKUP($F$2,INDIRECT(A26),3,FALSE),1,3)</f>
        <v>CAD</v>
      </c>
      <c r="G26" s="78" t="str">
        <f t="shared" si="3"/>
        <v>/</v>
      </c>
      <c r="H26" s="80" t="str">
        <f t="shared" si="4"/>
        <v>TBD from created superior equipment</v>
      </c>
      <c r="I26" s="80" t="s">
        <v>879</v>
      </c>
      <c r="J26" s="80" t="str">
        <f ca="1">CONCATENATE(MID(VLOOKUP($J$2,INDIRECT(A26),3,FALSE),6,99)," ",VLOOKUP($J$3,INDIRECT(A26),3,FALSE))</f>
        <v>Motor AC </v>
      </c>
      <c r="K26" s="78" t="str">
        <f t="shared" si="6"/>
        <v>CAD</v>
      </c>
      <c r="L26" s="78" t="str">
        <f t="shared" si="7"/>
        <v>/</v>
      </c>
      <c r="M26" s="80" t="str">
        <f t="shared" si="8"/>
        <v>TBD from created superior equipment</v>
      </c>
      <c r="N26" s="80" t="str">
        <f ca="1">VLOOKUP($N$2,INDIRECT(A26),3,FALSE)</f>
        <v>/</v>
      </c>
      <c r="O26" s="80" t="s">
        <v>879</v>
      </c>
      <c r="P26" s="80" t="s">
        <v>879</v>
      </c>
      <c r="Q26" s="80" t="s">
        <v>879</v>
      </c>
      <c r="R26" s="80" t="s">
        <v>879</v>
      </c>
      <c r="S26" s="80" t="s">
        <v>879</v>
      </c>
      <c r="T26" s="80" t="str">
        <f ca="1">MID(VLOOKUP($T$2,INDIRECT(A26),3,FALSE),1,4)</f>
        <v>3003</v>
      </c>
      <c r="U26" s="80" t="s">
        <v>879</v>
      </c>
      <c r="V26" s="80" t="s">
        <v>879</v>
      </c>
      <c r="W26" s="80" t="s">
        <v>879</v>
      </c>
      <c r="X26" s="80" t="str">
        <f ca="1">VLOOKUP($X$2,INDIRECT(A26),3,FALSE)</f>
        <v>/</v>
      </c>
      <c r="Y26" s="80" t="str">
        <f ca="1">VLOOKUP($Y$2,INDIRECT(A26),3,FALSE)</f>
        <v>/</v>
      </c>
      <c r="Z26" s="80" t="str">
        <f ca="1">VLOOKUP($Z$2,INDIRECT($A26),3,FALSE)</f>
        <v>/</v>
      </c>
      <c r="AA26" s="80" t="str">
        <f ca="1">VLOOKUP($AA$2,INDIRECT($A26),3,FALSE)</f>
        <v>/</v>
      </c>
      <c r="AB26" s="80" t="s">
        <v>879</v>
      </c>
      <c r="AC26" s="80" t="str">
        <f ca="1">VLOOKUP($AC$2,INDIRECT($A26),3,FALSE)</f>
        <v>/</v>
      </c>
      <c r="AD26" s="80" t="s">
        <v>879</v>
      </c>
      <c r="AE26" s="80" t="s">
        <v>879</v>
      </c>
      <c r="AF26" s="80" t="s">
        <v>879</v>
      </c>
      <c r="AG26" s="80" t="s">
        <v>879</v>
      </c>
      <c r="AH26" s="80" t="s">
        <v>879</v>
      </c>
      <c r="AI26" s="80" t="s">
        <v>879</v>
      </c>
      <c r="AJ26" s="78" t="str">
        <f t="shared" si="16"/>
        <v>CAD_ELE1</v>
      </c>
      <c r="AK26" s="78">
        <f t="shared" si="17"/>
        <v>3003</v>
      </c>
    </row>
    <row r="27" spans="1:37" ht="12.75">
      <c r="A27" s="81" t="s">
        <v>1250</v>
      </c>
      <c r="B27" s="32" t="str">
        <f t="shared" si="0"/>
        <v>Motor AC</v>
      </c>
      <c r="C27" s="32">
        <v>3</v>
      </c>
      <c r="D27" s="33"/>
      <c r="E27" s="34" t="str">
        <f t="shared" si="1"/>
        <v>ok</v>
      </c>
      <c r="F27" s="32" t="str">
        <f aca="true" ca="1" t="shared" si="27" ref="F27:F50">MID(VLOOKUP($F$2,INDIRECT(A27),2,FALSE),1,3)</f>
        <v>CAD</v>
      </c>
      <c r="G27" s="32" t="str">
        <f t="shared" si="3"/>
        <v>/</v>
      </c>
      <c r="H27" s="34" t="str">
        <f t="shared" si="4"/>
        <v>TBD from created superior equipment</v>
      </c>
      <c r="I27" s="35" t="s">
        <v>879</v>
      </c>
      <c r="J27" s="35" t="str">
        <f aca="true" ca="1" t="shared" si="28" ref="J27:J50">CONCATENATE(MID(VLOOKUP($J$2,INDIRECT(A27),2,FALSE),6,99)," ",VLOOKUP($J$3,INDIRECT(A27),2,FALSE))</f>
        <v>Motor AC </v>
      </c>
      <c r="K27" t="str">
        <f t="shared" si="6"/>
        <v>CAD</v>
      </c>
      <c r="L27" t="str">
        <f t="shared" si="7"/>
        <v>/</v>
      </c>
      <c r="M27" s="35" t="str">
        <f t="shared" si="8"/>
        <v>TBD from created superior equipment</v>
      </c>
      <c r="N27" s="35" t="str">
        <f aca="true" ca="1" t="shared" si="29" ref="N27:N50">VLOOKUP($N$2,INDIRECT(A27),2,FALSE)</f>
        <v>/</v>
      </c>
      <c r="O27" s="35" t="s">
        <v>879</v>
      </c>
      <c r="P27" s="35" t="s">
        <v>879</v>
      </c>
      <c r="Q27" s="35" t="s">
        <v>879</v>
      </c>
      <c r="R27" s="35" t="s">
        <v>879</v>
      </c>
      <c r="S27" s="35" t="s">
        <v>879</v>
      </c>
      <c r="T27" s="35" t="str">
        <f aca="true" ca="1" t="shared" si="30" ref="T27:T50">MID(VLOOKUP($T$2,INDIRECT(A27),2,FALSE),1,4)</f>
        <v>3003</v>
      </c>
      <c r="U27" s="35" t="s">
        <v>879</v>
      </c>
      <c r="V27" s="35" t="s">
        <v>879</v>
      </c>
      <c r="W27" s="35" t="s">
        <v>879</v>
      </c>
      <c r="X27" s="35" t="str">
        <f aca="true" ca="1" t="shared" si="31" ref="X27:X50">VLOOKUP($X$2,INDIRECT(A27),2,FALSE)</f>
        <v>/</v>
      </c>
      <c r="Y27" s="35" t="str">
        <f aca="true" ca="1" t="shared" si="32" ref="Y27:Y50">VLOOKUP($Y$2,INDIRECT(A27),2,FALSE)</f>
        <v>/</v>
      </c>
      <c r="Z27" s="35" t="str">
        <f aca="true" ca="1" t="shared" si="33" ref="Z27:Z50">VLOOKUP($Z$2,INDIRECT($A27),2,FALSE)</f>
        <v>/</v>
      </c>
      <c r="AA27" s="35" t="str">
        <f aca="true" ca="1" t="shared" si="34" ref="AA27:AA50">VLOOKUP($AA$2,INDIRECT($A27),2,FALSE)</f>
        <v>/</v>
      </c>
      <c r="AB27" s="35" t="s">
        <v>879</v>
      </c>
      <c r="AC27" s="35" t="str">
        <f aca="true" ca="1" t="shared" si="35" ref="AC27:AC50">VLOOKUP($AC$2,INDIRECT($A27),2,FALSE)</f>
        <v>/</v>
      </c>
      <c r="AD27" s="35" t="s">
        <v>879</v>
      </c>
      <c r="AE27" s="35" t="s">
        <v>879</v>
      </c>
      <c r="AF27" s="35" t="s">
        <v>879</v>
      </c>
      <c r="AG27" s="35" t="s">
        <v>879</v>
      </c>
      <c r="AH27" s="35" t="s">
        <v>879</v>
      </c>
      <c r="AI27" s="35" t="s">
        <v>879</v>
      </c>
      <c r="AJ27" t="str">
        <f t="shared" si="16"/>
        <v>CAD_ELE1</v>
      </c>
      <c r="AK27">
        <f t="shared" si="17"/>
        <v>3003</v>
      </c>
    </row>
    <row r="28" spans="1:37" ht="12.75">
      <c r="A28" s="81" t="s">
        <v>1227</v>
      </c>
      <c r="B28" s="32" t="str">
        <f t="shared" si="0"/>
        <v>Generator Elec</v>
      </c>
      <c r="C28" s="32">
        <v>3</v>
      </c>
      <c r="D28" s="33"/>
      <c r="E28" s="34" t="str">
        <f t="shared" si="1"/>
        <v>ok</v>
      </c>
      <c r="F28" s="32" t="str">
        <f ca="1" t="shared" si="27"/>
        <v>CAD</v>
      </c>
      <c r="G28" s="32" t="str">
        <f t="shared" si="3"/>
        <v>/</v>
      </c>
      <c r="H28" s="34" t="str">
        <f t="shared" si="4"/>
        <v>TBD from created superior equipment</v>
      </c>
      <c r="I28" s="35" t="s">
        <v>879</v>
      </c>
      <c r="J28" s="35" t="str">
        <f ca="1" t="shared" si="28"/>
        <v>Generator Elec </v>
      </c>
      <c r="K28" t="str">
        <f t="shared" si="6"/>
        <v>CAD</v>
      </c>
      <c r="L28" t="str">
        <f t="shared" si="7"/>
        <v>/</v>
      </c>
      <c r="M28" s="35" t="str">
        <f t="shared" si="8"/>
        <v>TBD from created superior equipment</v>
      </c>
      <c r="N28" s="35" t="str">
        <f ca="1" t="shared" si="29"/>
        <v>/</v>
      </c>
      <c r="O28" s="35" t="s">
        <v>879</v>
      </c>
      <c r="P28" s="35" t="s">
        <v>879</v>
      </c>
      <c r="Q28" s="35" t="s">
        <v>879</v>
      </c>
      <c r="R28" s="35" t="s">
        <v>879</v>
      </c>
      <c r="S28" s="35" t="s">
        <v>879</v>
      </c>
      <c r="T28" s="35" t="str">
        <f ca="1" t="shared" si="30"/>
        <v>3101</v>
      </c>
      <c r="U28" s="35" t="s">
        <v>879</v>
      </c>
      <c r="V28" s="35" t="s">
        <v>879</v>
      </c>
      <c r="W28" s="35" t="s">
        <v>879</v>
      </c>
      <c r="X28" s="35" t="str">
        <f ca="1" t="shared" si="31"/>
        <v>/</v>
      </c>
      <c r="Y28" s="35" t="str">
        <f ca="1" t="shared" si="32"/>
        <v>/</v>
      </c>
      <c r="Z28" s="35" t="str">
        <f ca="1" t="shared" si="33"/>
        <v>/</v>
      </c>
      <c r="AA28" s="35" t="str">
        <f ca="1" t="shared" si="34"/>
        <v>/</v>
      </c>
      <c r="AB28" s="35" t="s">
        <v>879</v>
      </c>
      <c r="AC28" s="35" t="str">
        <f ca="1" t="shared" si="35"/>
        <v>/</v>
      </c>
      <c r="AD28" s="35" t="s">
        <v>879</v>
      </c>
      <c r="AE28" s="35" t="s">
        <v>879</v>
      </c>
      <c r="AF28" s="35" t="s">
        <v>879</v>
      </c>
      <c r="AG28" s="35" t="s">
        <v>879</v>
      </c>
      <c r="AH28" s="35" t="s">
        <v>879</v>
      </c>
      <c r="AI28" s="35" t="s">
        <v>879</v>
      </c>
      <c r="AJ28" t="str">
        <f t="shared" si="16"/>
        <v>CAD_ELE1</v>
      </c>
      <c r="AK28">
        <f t="shared" si="17"/>
        <v>3101</v>
      </c>
    </row>
    <row r="29" spans="1:37" ht="12.75">
      <c r="A29" s="81" t="s">
        <v>1229</v>
      </c>
      <c r="B29" s="32" t="str">
        <f t="shared" si="0"/>
        <v>Flow Mtr Turbine</v>
      </c>
      <c r="C29" s="32">
        <v>3</v>
      </c>
      <c r="D29" s="33"/>
      <c r="E29" s="34" t="str">
        <f t="shared" si="1"/>
        <v>ok</v>
      </c>
      <c r="F29" s="32" t="str">
        <f ca="1" t="shared" si="27"/>
        <v>CAD</v>
      </c>
      <c r="G29" s="32" t="str">
        <f t="shared" si="3"/>
        <v>/</v>
      </c>
      <c r="H29" s="34" t="str">
        <f t="shared" si="4"/>
        <v>TBD from created superior equipment</v>
      </c>
      <c r="I29" s="35" t="s">
        <v>879</v>
      </c>
      <c r="J29" s="35" t="str">
        <f ca="1" t="shared" si="28"/>
        <v>Flow Mtr Turbine </v>
      </c>
      <c r="K29" t="str">
        <f t="shared" si="6"/>
        <v>CAD</v>
      </c>
      <c r="L29" t="str">
        <f t="shared" si="7"/>
        <v>/</v>
      </c>
      <c r="M29" s="35" t="str">
        <f t="shared" si="8"/>
        <v>TBD from created superior equipment</v>
      </c>
      <c r="N29" s="35" t="str">
        <f ca="1" t="shared" si="29"/>
        <v>/</v>
      </c>
      <c r="O29" s="35" t="s">
        <v>879</v>
      </c>
      <c r="P29" s="35" t="s">
        <v>879</v>
      </c>
      <c r="Q29" s="35" t="s">
        <v>879</v>
      </c>
      <c r="R29" s="35" t="s">
        <v>879</v>
      </c>
      <c r="S29" s="35" t="s">
        <v>879</v>
      </c>
      <c r="T29" s="35" t="str">
        <f ca="1" t="shared" si="30"/>
        <v>4006</v>
      </c>
      <c r="U29" s="35" t="s">
        <v>879</v>
      </c>
      <c r="V29" s="35" t="s">
        <v>879</v>
      </c>
      <c r="W29" s="35" t="s">
        <v>879</v>
      </c>
      <c r="X29" s="35" t="str">
        <f ca="1" t="shared" si="31"/>
        <v>/</v>
      </c>
      <c r="Y29" s="35" t="str">
        <f ca="1" t="shared" si="32"/>
        <v>/</v>
      </c>
      <c r="Z29" s="35" t="str">
        <f ca="1" t="shared" si="33"/>
        <v>/</v>
      </c>
      <c r="AA29" s="35" t="str">
        <f ca="1" t="shared" si="34"/>
        <v>/</v>
      </c>
      <c r="AB29" s="35" t="s">
        <v>879</v>
      </c>
      <c r="AC29" s="35" t="str">
        <f ca="1" t="shared" si="35"/>
        <v>/</v>
      </c>
      <c r="AD29" s="35" t="s">
        <v>879</v>
      </c>
      <c r="AE29" s="35" t="s">
        <v>879</v>
      </c>
      <c r="AF29" s="35" t="s">
        <v>879</v>
      </c>
      <c r="AG29" s="35" t="s">
        <v>879</v>
      </c>
      <c r="AH29" s="35" t="s">
        <v>879</v>
      </c>
      <c r="AI29" s="35" t="s">
        <v>879</v>
      </c>
      <c r="AJ29" t="str">
        <f t="shared" si="16"/>
        <v>CAD_INS1</v>
      </c>
      <c r="AK29">
        <f t="shared" si="17"/>
        <v>4006</v>
      </c>
    </row>
    <row r="30" spans="1:37" ht="12.75">
      <c r="A30" s="81" t="s">
        <v>1230</v>
      </c>
      <c r="B30" s="32" t="str">
        <f t="shared" si="0"/>
        <v>Flow Mtr Ultrasonic</v>
      </c>
      <c r="C30" s="32">
        <v>3</v>
      </c>
      <c r="D30" s="33"/>
      <c r="E30" s="34" t="str">
        <f t="shared" si="1"/>
        <v>ok</v>
      </c>
      <c r="F30" s="32" t="str">
        <f ca="1" t="shared" si="27"/>
        <v>CAD</v>
      </c>
      <c r="G30" s="32" t="str">
        <f t="shared" si="3"/>
        <v>/</v>
      </c>
      <c r="H30" s="34" t="str">
        <f t="shared" si="4"/>
        <v>TBD from created superior equipment</v>
      </c>
      <c r="I30" s="35" t="s">
        <v>879</v>
      </c>
      <c r="J30" s="35" t="str">
        <f ca="1" t="shared" si="28"/>
        <v>Flow Mtr Ultrasonic </v>
      </c>
      <c r="K30" t="str">
        <f t="shared" si="6"/>
        <v>CAD</v>
      </c>
      <c r="L30" t="str">
        <f t="shared" si="7"/>
        <v>/</v>
      </c>
      <c r="M30" s="35" t="str">
        <f t="shared" si="8"/>
        <v>TBD from created superior equipment</v>
      </c>
      <c r="N30" s="35" t="str">
        <f ca="1" t="shared" si="29"/>
        <v>/</v>
      </c>
      <c r="O30" s="35" t="s">
        <v>879</v>
      </c>
      <c r="P30" s="35" t="s">
        <v>879</v>
      </c>
      <c r="Q30" s="35" t="s">
        <v>879</v>
      </c>
      <c r="R30" s="35" t="s">
        <v>879</v>
      </c>
      <c r="S30" s="35" t="s">
        <v>879</v>
      </c>
      <c r="T30" s="35" t="str">
        <f ca="1" t="shared" si="30"/>
        <v>4007</v>
      </c>
      <c r="U30" s="35" t="s">
        <v>879</v>
      </c>
      <c r="V30" s="35" t="s">
        <v>879</v>
      </c>
      <c r="W30" s="35" t="s">
        <v>879</v>
      </c>
      <c r="X30" s="35" t="str">
        <f ca="1" t="shared" si="31"/>
        <v>/</v>
      </c>
      <c r="Y30" s="35" t="str">
        <f ca="1" t="shared" si="32"/>
        <v>/</v>
      </c>
      <c r="Z30" s="35" t="str">
        <f ca="1" t="shared" si="33"/>
        <v>/</v>
      </c>
      <c r="AA30" s="35" t="str">
        <f ca="1" t="shared" si="34"/>
        <v>/</v>
      </c>
      <c r="AB30" s="35" t="s">
        <v>879</v>
      </c>
      <c r="AC30" s="35" t="str">
        <f ca="1" t="shared" si="35"/>
        <v>/</v>
      </c>
      <c r="AD30" s="35" t="s">
        <v>879</v>
      </c>
      <c r="AE30" s="35" t="s">
        <v>879</v>
      </c>
      <c r="AF30" s="35" t="s">
        <v>879</v>
      </c>
      <c r="AG30" s="35" t="s">
        <v>879</v>
      </c>
      <c r="AH30" s="35" t="s">
        <v>879</v>
      </c>
      <c r="AI30" s="35" t="s">
        <v>879</v>
      </c>
      <c r="AJ30" t="str">
        <f t="shared" si="16"/>
        <v>CAD_INS1</v>
      </c>
      <c r="AK30">
        <f t="shared" si="17"/>
        <v>4007</v>
      </c>
    </row>
    <row r="31" spans="1:37" ht="12.75">
      <c r="A31" s="81" t="s">
        <v>1231</v>
      </c>
      <c r="B31" s="32" t="str">
        <f t="shared" si="0"/>
        <v>Flow Mtr Venturi</v>
      </c>
      <c r="C31" s="32">
        <v>3</v>
      </c>
      <c r="D31" s="33"/>
      <c r="E31" s="34" t="str">
        <f t="shared" si="1"/>
        <v>ok</v>
      </c>
      <c r="F31" s="32" t="str">
        <f ca="1" t="shared" si="27"/>
        <v>CAD</v>
      </c>
      <c r="G31" s="32" t="str">
        <f t="shared" si="3"/>
        <v>/</v>
      </c>
      <c r="H31" s="34" t="str">
        <f t="shared" si="4"/>
        <v>TBD from created superior equipment</v>
      </c>
      <c r="I31" s="35" t="s">
        <v>879</v>
      </c>
      <c r="J31" s="35" t="str">
        <f ca="1" t="shared" si="28"/>
        <v>Flow Mtr Venturi </v>
      </c>
      <c r="K31" t="str">
        <f t="shared" si="6"/>
        <v>CAD</v>
      </c>
      <c r="L31" t="str">
        <f t="shared" si="7"/>
        <v>/</v>
      </c>
      <c r="M31" s="35" t="str">
        <f t="shared" si="8"/>
        <v>TBD from created superior equipment</v>
      </c>
      <c r="N31" s="35" t="str">
        <f ca="1" t="shared" si="29"/>
        <v>/</v>
      </c>
      <c r="O31" s="35" t="s">
        <v>879</v>
      </c>
      <c r="P31" s="35" t="s">
        <v>879</v>
      </c>
      <c r="Q31" s="35" t="s">
        <v>879</v>
      </c>
      <c r="R31" s="35" t="s">
        <v>879</v>
      </c>
      <c r="S31" s="35" t="s">
        <v>879</v>
      </c>
      <c r="T31" s="35" t="str">
        <f ca="1" t="shared" si="30"/>
        <v>4008</v>
      </c>
      <c r="U31" s="35" t="s">
        <v>879</v>
      </c>
      <c r="V31" s="35" t="s">
        <v>879</v>
      </c>
      <c r="W31" s="35" t="s">
        <v>879</v>
      </c>
      <c r="X31" s="35" t="str">
        <f ca="1" t="shared" si="31"/>
        <v>/</v>
      </c>
      <c r="Y31" s="35" t="str">
        <f ca="1" t="shared" si="32"/>
        <v>/</v>
      </c>
      <c r="Z31" s="35" t="str">
        <f ca="1" t="shared" si="33"/>
        <v>/</v>
      </c>
      <c r="AA31" s="35" t="str">
        <f ca="1" t="shared" si="34"/>
        <v>/</v>
      </c>
      <c r="AB31" s="35" t="s">
        <v>879</v>
      </c>
      <c r="AC31" s="35" t="str">
        <f ca="1" t="shared" si="35"/>
        <v>/</v>
      </c>
      <c r="AD31" s="35" t="s">
        <v>879</v>
      </c>
      <c r="AE31" s="35" t="s">
        <v>879</v>
      </c>
      <c r="AF31" s="35" t="s">
        <v>879</v>
      </c>
      <c r="AG31" s="35" t="s">
        <v>879</v>
      </c>
      <c r="AH31" s="35" t="s">
        <v>879</v>
      </c>
      <c r="AI31" s="35" t="s">
        <v>879</v>
      </c>
      <c r="AJ31" t="str">
        <f t="shared" si="16"/>
        <v>CAD_INS1</v>
      </c>
      <c r="AK31">
        <f t="shared" si="17"/>
        <v>4008</v>
      </c>
    </row>
    <row r="32" spans="1:37" ht="12.75">
      <c r="A32" s="81" t="s">
        <v>1232</v>
      </c>
      <c r="B32" s="32" t="str">
        <f t="shared" si="0"/>
        <v>Flow Mtr PD</v>
      </c>
      <c r="C32" s="32">
        <v>3</v>
      </c>
      <c r="D32" s="33"/>
      <c r="E32" s="34" t="str">
        <f t="shared" si="1"/>
        <v>ok</v>
      </c>
      <c r="F32" s="32" t="str">
        <f ca="1" t="shared" si="27"/>
        <v>CAD</v>
      </c>
      <c r="G32" s="32" t="str">
        <f t="shared" si="3"/>
        <v>/</v>
      </c>
      <c r="H32" s="34" t="str">
        <f t="shared" si="4"/>
        <v>TBD from created superior equipment</v>
      </c>
      <c r="I32" s="35" t="s">
        <v>879</v>
      </c>
      <c r="J32" s="35" t="str">
        <f ca="1" t="shared" si="28"/>
        <v>Flow Mtr PD </v>
      </c>
      <c r="K32" t="str">
        <f t="shared" si="6"/>
        <v>CAD</v>
      </c>
      <c r="L32" t="str">
        <f t="shared" si="7"/>
        <v>/</v>
      </c>
      <c r="M32" s="35" t="str">
        <f t="shared" si="8"/>
        <v>TBD from created superior equipment</v>
      </c>
      <c r="N32" s="35" t="str">
        <f ca="1" t="shared" si="29"/>
        <v>/</v>
      </c>
      <c r="O32" s="35" t="s">
        <v>879</v>
      </c>
      <c r="P32" s="35" t="s">
        <v>879</v>
      </c>
      <c r="Q32" s="35" t="s">
        <v>879</v>
      </c>
      <c r="R32" s="35" t="s">
        <v>879</v>
      </c>
      <c r="S32" s="35" t="s">
        <v>879</v>
      </c>
      <c r="T32" s="35" t="str">
        <f ca="1" t="shared" si="30"/>
        <v>4009</v>
      </c>
      <c r="U32" s="35" t="s">
        <v>879</v>
      </c>
      <c r="V32" s="35" t="s">
        <v>879</v>
      </c>
      <c r="W32" s="35" t="s">
        <v>879</v>
      </c>
      <c r="X32" s="35" t="str">
        <f ca="1" t="shared" si="31"/>
        <v>/</v>
      </c>
      <c r="Y32" s="35" t="str">
        <f ca="1" t="shared" si="32"/>
        <v>/</v>
      </c>
      <c r="Z32" s="35" t="str">
        <f ca="1" t="shared" si="33"/>
        <v>/</v>
      </c>
      <c r="AA32" s="35" t="str">
        <f ca="1" t="shared" si="34"/>
        <v>/</v>
      </c>
      <c r="AB32" s="35" t="s">
        <v>879</v>
      </c>
      <c r="AC32" s="35" t="str">
        <f ca="1" t="shared" si="35"/>
        <v>/</v>
      </c>
      <c r="AD32" s="35" t="s">
        <v>879</v>
      </c>
      <c r="AE32" s="35" t="s">
        <v>879</v>
      </c>
      <c r="AF32" s="35" t="s">
        <v>879</v>
      </c>
      <c r="AG32" s="35" t="s">
        <v>879</v>
      </c>
      <c r="AH32" s="35" t="s">
        <v>879</v>
      </c>
      <c r="AI32" s="35" t="s">
        <v>879</v>
      </c>
      <c r="AJ32" t="str">
        <f t="shared" si="16"/>
        <v>CAD_INS1</v>
      </c>
      <c r="AK32">
        <f t="shared" si="17"/>
        <v>4009</v>
      </c>
    </row>
    <row r="33" spans="1:37" ht="12.75">
      <c r="A33" s="81" t="s">
        <v>1234</v>
      </c>
      <c r="B33" s="32" t="str">
        <f t="shared" si="0"/>
        <v>Meter Run Senior</v>
      </c>
      <c r="C33" s="32">
        <v>3</v>
      </c>
      <c r="D33" s="33"/>
      <c r="E33" s="34" t="str">
        <f t="shared" si="1"/>
        <v>ok</v>
      </c>
      <c r="F33" s="32" t="str">
        <f ca="1" t="shared" si="27"/>
        <v>CAD</v>
      </c>
      <c r="G33" s="32" t="str">
        <f t="shared" si="3"/>
        <v>/</v>
      </c>
      <c r="H33" s="34" t="str">
        <f t="shared" si="4"/>
        <v>TBD from created superior equipment</v>
      </c>
      <c r="I33" s="35" t="s">
        <v>879</v>
      </c>
      <c r="J33" s="35" t="str">
        <f ca="1" t="shared" si="28"/>
        <v>Meter Run Senior </v>
      </c>
      <c r="K33" t="str">
        <f t="shared" si="6"/>
        <v>CAD</v>
      </c>
      <c r="L33" t="str">
        <f t="shared" si="7"/>
        <v>/</v>
      </c>
      <c r="M33" s="35" t="str">
        <f t="shared" si="8"/>
        <v>TBD from created superior equipment</v>
      </c>
      <c r="N33" s="35" t="str">
        <f ca="1" t="shared" si="29"/>
        <v>/</v>
      </c>
      <c r="O33" s="35" t="s">
        <v>879</v>
      </c>
      <c r="P33" s="35" t="s">
        <v>879</v>
      </c>
      <c r="Q33" s="35" t="s">
        <v>879</v>
      </c>
      <c r="R33" s="35" t="s">
        <v>879</v>
      </c>
      <c r="S33" s="35" t="s">
        <v>879</v>
      </c>
      <c r="T33" s="35" t="str">
        <f ca="1" t="shared" si="30"/>
        <v>4017</v>
      </c>
      <c r="U33" s="35" t="s">
        <v>879</v>
      </c>
      <c r="V33" s="35" t="s">
        <v>879</v>
      </c>
      <c r="W33" s="35" t="s">
        <v>879</v>
      </c>
      <c r="X33" s="35" t="str">
        <f ca="1" t="shared" si="31"/>
        <v>/</v>
      </c>
      <c r="Y33" s="35" t="str">
        <f ca="1" t="shared" si="32"/>
        <v>/</v>
      </c>
      <c r="Z33" s="35" t="str">
        <f ca="1" t="shared" si="33"/>
        <v>/</v>
      </c>
      <c r="AA33" s="35" t="str">
        <f ca="1" t="shared" si="34"/>
        <v>/</v>
      </c>
      <c r="AB33" s="35" t="s">
        <v>879</v>
      </c>
      <c r="AC33" s="35" t="str">
        <f ca="1" t="shared" si="35"/>
        <v>/</v>
      </c>
      <c r="AD33" s="35" t="s">
        <v>879</v>
      </c>
      <c r="AE33" s="35" t="s">
        <v>879</v>
      </c>
      <c r="AF33" s="35" t="s">
        <v>879</v>
      </c>
      <c r="AG33" s="35" t="s">
        <v>879</v>
      </c>
      <c r="AH33" s="35" t="s">
        <v>879</v>
      </c>
      <c r="AI33" s="35" t="s">
        <v>879</v>
      </c>
      <c r="AJ33" t="str">
        <f t="shared" si="16"/>
        <v>CAD_INS1</v>
      </c>
      <c r="AK33">
        <f t="shared" si="17"/>
        <v>4017</v>
      </c>
    </row>
    <row r="34" spans="1:37" ht="12.75">
      <c r="A34" s="81" t="s">
        <v>1235</v>
      </c>
      <c r="B34" s="32" t="str">
        <f t="shared" si="0"/>
        <v>Meter Run Junior</v>
      </c>
      <c r="C34" s="32">
        <v>3</v>
      </c>
      <c r="D34" s="33"/>
      <c r="E34" s="34" t="str">
        <f t="shared" si="1"/>
        <v>ok</v>
      </c>
      <c r="F34" s="32" t="str">
        <f ca="1" t="shared" si="27"/>
        <v>CAD</v>
      </c>
      <c r="G34" s="32" t="str">
        <f t="shared" si="3"/>
        <v>/</v>
      </c>
      <c r="H34" s="34" t="str">
        <f t="shared" si="4"/>
        <v>TBD from created superior equipment</v>
      </c>
      <c r="I34" s="35" t="s">
        <v>879</v>
      </c>
      <c r="J34" s="35" t="str">
        <f ca="1" t="shared" si="28"/>
        <v>Meter Run Junior </v>
      </c>
      <c r="K34" t="str">
        <f t="shared" si="6"/>
        <v>CAD</v>
      </c>
      <c r="L34" t="str">
        <f t="shared" si="7"/>
        <v>/</v>
      </c>
      <c r="M34" s="35" t="str">
        <f t="shared" si="8"/>
        <v>TBD from created superior equipment</v>
      </c>
      <c r="N34" s="35" t="str">
        <f ca="1" t="shared" si="29"/>
        <v>/</v>
      </c>
      <c r="O34" s="35" t="s">
        <v>879</v>
      </c>
      <c r="P34" s="35" t="s">
        <v>879</v>
      </c>
      <c r="Q34" s="35" t="s">
        <v>879</v>
      </c>
      <c r="R34" s="35" t="s">
        <v>879</v>
      </c>
      <c r="S34" s="35" t="s">
        <v>879</v>
      </c>
      <c r="T34" s="35" t="str">
        <f ca="1" t="shared" si="30"/>
        <v>4018</v>
      </c>
      <c r="U34" s="35" t="s">
        <v>879</v>
      </c>
      <c r="V34" s="35" t="s">
        <v>879</v>
      </c>
      <c r="W34" s="35" t="s">
        <v>879</v>
      </c>
      <c r="X34" s="35" t="str">
        <f ca="1" t="shared" si="31"/>
        <v>/</v>
      </c>
      <c r="Y34" s="35" t="str">
        <f ca="1" t="shared" si="32"/>
        <v>/</v>
      </c>
      <c r="Z34" s="35" t="str">
        <f ca="1" t="shared" si="33"/>
        <v>/</v>
      </c>
      <c r="AA34" s="35" t="str">
        <f ca="1" t="shared" si="34"/>
        <v>/</v>
      </c>
      <c r="AB34" s="35" t="s">
        <v>879</v>
      </c>
      <c r="AC34" s="35" t="str">
        <f ca="1" t="shared" si="35"/>
        <v>/</v>
      </c>
      <c r="AD34" s="35" t="s">
        <v>879</v>
      </c>
      <c r="AE34" s="35" t="s">
        <v>879</v>
      </c>
      <c r="AF34" s="35" t="s">
        <v>879</v>
      </c>
      <c r="AG34" s="35" t="s">
        <v>879</v>
      </c>
      <c r="AH34" s="35" t="s">
        <v>879</v>
      </c>
      <c r="AI34" s="35" t="s">
        <v>879</v>
      </c>
      <c r="AJ34" t="str">
        <f t="shared" si="16"/>
        <v>CAD_INS1</v>
      </c>
      <c r="AK34">
        <f t="shared" si="17"/>
        <v>4018</v>
      </c>
    </row>
    <row r="35" spans="1:37" ht="12.75">
      <c r="A35" s="81" t="s">
        <v>1285</v>
      </c>
      <c r="B35" s="32" t="str">
        <f t="shared" si="0"/>
        <v>Exchanger Plate</v>
      </c>
      <c r="C35" s="32">
        <v>3</v>
      </c>
      <c r="D35" s="33"/>
      <c r="E35" s="32" t="str">
        <f t="shared" si="1"/>
        <v>ok</v>
      </c>
      <c r="F35" s="32" t="str">
        <f ca="1" t="shared" si="27"/>
        <v>CAD</v>
      </c>
      <c r="G35" s="32" t="str">
        <f t="shared" si="3"/>
        <v>/</v>
      </c>
      <c r="H35" s="32" t="str">
        <f t="shared" si="4"/>
        <v>TBD from created superior equipment</v>
      </c>
      <c r="I35" s="35" t="s">
        <v>879</v>
      </c>
      <c r="J35" t="str">
        <f ca="1" t="shared" si="28"/>
        <v>Exchanger Plate </v>
      </c>
      <c r="K35" t="str">
        <f t="shared" si="6"/>
        <v>CAD</v>
      </c>
      <c r="L35" t="str">
        <f t="shared" si="7"/>
        <v>/</v>
      </c>
      <c r="M35" s="35" t="str">
        <f t="shared" si="8"/>
        <v>TBD from created superior equipment</v>
      </c>
      <c r="N35" s="35" t="str">
        <f ca="1" t="shared" si="29"/>
        <v>/</v>
      </c>
      <c r="O35" s="35" t="s">
        <v>879</v>
      </c>
      <c r="P35" s="35" t="s">
        <v>879</v>
      </c>
      <c r="Q35" s="35" t="s">
        <v>879</v>
      </c>
      <c r="R35" s="35" t="s">
        <v>879</v>
      </c>
      <c r="S35" s="35" t="s">
        <v>879</v>
      </c>
      <c r="T35" s="35" t="str">
        <f ca="1" t="shared" si="30"/>
        <v>4102</v>
      </c>
      <c r="U35" s="35" t="s">
        <v>879</v>
      </c>
      <c r="V35" s="35" t="s">
        <v>879</v>
      </c>
      <c r="W35" s="35" t="s">
        <v>879</v>
      </c>
      <c r="X35" s="35" t="str">
        <f ca="1" t="shared" si="31"/>
        <v>/</v>
      </c>
      <c r="Y35" s="35" t="str">
        <f ca="1" t="shared" si="32"/>
        <v>/</v>
      </c>
      <c r="Z35" s="35" t="str">
        <f ca="1" t="shared" si="33"/>
        <v>/</v>
      </c>
      <c r="AA35" s="35" t="str">
        <f ca="1" t="shared" si="34"/>
        <v>/</v>
      </c>
      <c r="AB35" s="35" t="s">
        <v>879</v>
      </c>
      <c r="AC35" s="35" t="str">
        <f ca="1" t="shared" si="35"/>
        <v>/</v>
      </c>
      <c r="AD35" s="35" t="s">
        <v>879</v>
      </c>
      <c r="AE35" s="35" t="s">
        <v>879</v>
      </c>
      <c r="AF35" s="35" t="s">
        <v>879</v>
      </c>
      <c r="AG35" s="35" t="s">
        <v>879</v>
      </c>
      <c r="AH35" s="35" t="s">
        <v>879</v>
      </c>
      <c r="AI35" s="35" t="s">
        <v>879</v>
      </c>
      <c r="AJ35" t="str">
        <f t="shared" si="16"/>
        <v>CAD_INP1</v>
      </c>
      <c r="AK35">
        <f t="shared" si="17"/>
        <v>4102</v>
      </c>
    </row>
    <row r="36" spans="1:37" ht="12.75">
      <c r="A36" s="81" t="s">
        <v>1237</v>
      </c>
      <c r="B36" s="32" t="str">
        <f aca="true" t="shared" si="36" ref="B36:B73">VLOOKUP(MID(A36,4,4),XREF2,4,FALSE)</f>
        <v>Exchanger Air Cooled</v>
      </c>
      <c r="C36" s="32">
        <v>3</v>
      </c>
      <c r="D36" s="33"/>
      <c r="E36" s="34" t="str">
        <f aca="true" t="shared" si="37" ref="E36:E73">IF(LEN(J36)&lt;40,"ok",LEN(J36))</f>
        <v>ok</v>
      </c>
      <c r="F36" s="32" t="str">
        <f ca="1" t="shared" si="27"/>
        <v>CAD</v>
      </c>
      <c r="G36" s="32" t="str">
        <f aca="true" t="shared" si="38" ref="G36:G73">IF(C36=1,"TBD","/")</f>
        <v>/</v>
      </c>
      <c r="H36" s="34" t="str">
        <f aca="true" t="shared" si="39" ref="H36:H73">IF(C36&lt;&gt;1,"TBD from created superior equipment","/")</f>
        <v>TBD from created superior equipment</v>
      </c>
      <c r="I36" s="35" t="s">
        <v>879</v>
      </c>
      <c r="J36" s="35" t="str">
        <f ca="1" t="shared" si="28"/>
        <v>Exchanger Air Cooled </v>
      </c>
      <c r="K36" t="str">
        <f aca="true" t="shared" si="40" ref="K36:K73">+F36</f>
        <v>CAD</v>
      </c>
      <c r="L36" t="str">
        <f aca="true" t="shared" si="41" ref="L36:L73">+G36</f>
        <v>/</v>
      </c>
      <c r="M36" s="35" t="str">
        <f aca="true" t="shared" si="42" ref="M36:M73">+H36</f>
        <v>TBD from created superior equipment</v>
      </c>
      <c r="N36" s="35" t="str">
        <f ca="1" t="shared" si="29"/>
        <v>/</v>
      </c>
      <c r="O36" s="35" t="s">
        <v>879</v>
      </c>
      <c r="P36" s="35" t="s">
        <v>879</v>
      </c>
      <c r="Q36" s="35" t="s">
        <v>879</v>
      </c>
      <c r="R36" s="35" t="s">
        <v>879</v>
      </c>
      <c r="S36" s="35" t="s">
        <v>879</v>
      </c>
      <c r="T36" s="35" t="str">
        <f ca="1" t="shared" si="30"/>
        <v>4120</v>
      </c>
      <c r="U36" s="35" t="s">
        <v>879</v>
      </c>
      <c r="V36" s="35" t="s">
        <v>879</v>
      </c>
      <c r="W36" s="35" t="s">
        <v>879</v>
      </c>
      <c r="X36" s="35" t="str">
        <f ca="1" t="shared" si="31"/>
        <v>/</v>
      </c>
      <c r="Y36" s="35" t="str">
        <f ca="1" t="shared" si="32"/>
        <v>/</v>
      </c>
      <c r="Z36" s="35" t="str">
        <f ca="1" t="shared" si="33"/>
        <v>/</v>
      </c>
      <c r="AA36" s="35" t="str">
        <f ca="1" t="shared" si="34"/>
        <v>/</v>
      </c>
      <c r="AB36" s="35" t="s">
        <v>879</v>
      </c>
      <c r="AC36" s="35" t="str">
        <f ca="1" t="shared" si="35"/>
        <v>/</v>
      </c>
      <c r="AD36" s="35" t="s">
        <v>879</v>
      </c>
      <c r="AE36" s="35" t="s">
        <v>879</v>
      </c>
      <c r="AF36" s="35" t="s">
        <v>879</v>
      </c>
      <c r="AG36" s="35" t="s">
        <v>879</v>
      </c>
      <c r="AH36" s="35" t="s">
        <v>879</v>
      </c>
      <c r="AI36" s="35" t="s">
        <v>879</v>
      </c>
      <c r="AJ36" t="str">
        <f aca="true" t="shared" si="43" ref="AJ36:AJ73">CONCATENATE(MID(K36,1,3),"_",VLOOKUP(T36,XREF2,3,FALSE),1)</f>
        <v>CAD_INP1</v>
      </c>
      <c r="AK36">
        <f aca="true" t="shared" si="44" ref="AK36:AK73">VLOOKUP(T36,XREF2,2,FALSE)</f>
        <v>4120</v>
      </c>
    </row>
    <row r="37" spans="1:37" ht="12.75">
      <c r="A37" s="81" t="s">
        <v>1324</v>
      </c>
      <c r="B37" s="32" t="str">
        <f t="shared" si="36"/>
        <v>Analyzer</v>
      </c>
      <c r="C37" s="32">
        <v>3</v>
      </c>
      <c r="D37" s="33"/>
      <c r="E37" s="34" t="str">
        <f t="shared" si="37"/>
        <v>ok</v>
      </c>
      <c r="F37" s="32" t="str">
        <f ca="1" t="shared" si="27"/>
        <v>CAD</v>
      </c>
      <c r="G37" s="32" t="str">
        <f t="shared" si="38"/>
        <v>/</v>
      </c>
      <c r="H37" s="34" t="str">
        <f t="shared" si="39"/>
        <v>TBD from created superior equipment</v>
      </c>
      <c r="I37" s="35" t="s">
        <v>879</v>
      </c>
      <c r="J37" s="35" t="str">
        <f ca="1" t="shared" si="28"/>
        <v>Analyzer LEL</v>
      </c>
      <c r="K37" t="str">
        <f t="shared" si="40"/>
        <v>CAD</v>
      </c>
      <c r="L37" t="str">
        <f t="shared" si="41"/>
        <v>/</v>
      </c>
      <c r="M37" s="35" t="str">
        <f t="shared" si="42"/>
        <v>TBD from created superior equipment</v>
      </c>
      <c r="N37" s="35" t="str">
        <f ca="1" t="shared" si="29"/>
        <v>/</v>
      </c>
      <c r="O37" s="35" t="s">
        <v>879</v>
      </c>
      <c r="P37" s="35" t="s">
        <v>879</v>
      </c>
      <c r="Q37" s="35" t="s">
        <v>879</v>
      </c>
      <c r="R37" s="35" t="s">
        <v>879</v>
      </c>
      <c r="S37" s="35" t="s">
        <v>879</v>
      </c>
      <c r="T37" s="35" t="str">
        <f ca="1" t="shared" si="30"/>
        <v>4304</v>
      </c>
      <c r="U37" s="35" t="s">
        <v>879</v>
      </c>
      <c r="V37" s="35" t="s">
        <v>879</v>
      </c>
      <c r="W37" s="35" t="s">
        <v>879</v>
      </c>
      <c r="X37" s="35" t="str">
        <f ca="1" t="shared" si="31"/>
        <v>/</v>
      </c>
      <c r="Y37" s="35" t="str">
        <f ca="1" t="shared" si="32"/>
        <v>/</v>
      </c>
      <c r="Z37" s="35" t="str">
        <f ca="1" t="shared" si="33"/>
        <v>/</v>
      </c>
      <c r="AA37" s="35" t="str">
        <f ca="1" t="shared" si="34"/>
        <v>/</v>
      </c>
      <c r="AB37" s="35" t="s">
        <v>879</v>
      </c>
      <c r="AC37" s="35" t="str">
        <f ca="1" t="shared" si="35"/>
        <v>/</v>
      </c>
      <c r="AD37" s="35" t="s">
        <v>879</v>
      </c>
      <c r="AE37" s="35" t="s">
        <v>879</v>
      </c>
      <c r="AF37" s="35" t="s">
        <v>879</v>
      </c>
      <c r="AG37" s="35" t="s">
        <v>879</v>
      </c>
      <c r="AH37" s="35" t="s">
        <v>879</v>
      </c>
      <c r="AI37" s="35" t="s">
        <v>879</v>
      </c>
      <c r="AJ37" t="str">
        <f t="shared" si="43"/>
        <v>CAD_INS1</v>
      </c>
      <c r="AK37">
        <f t="shared" si="44"/>
        <v>4304</v>
      </c>
    </row>
    <row r="38" spans="1:37" ht="12.75">
      <c r="A38" s="82" t="s">
        <v>1324</v>
      </c>
      <c r="B38" s="78" t="str">
        <f t="shared" si="36"/>
        <v>Analyzer</v>
      </c>
      <c r="C38" s="78">
        <v>3</v>
      </c>
      <c r="D38" s="79"/>
      <c r="E38" s="80" t="str">
        <f aca="true" t="shared" si="45" ref="E38:E46">IF(LEN(J38)&lt;40,"ok",LEN(J38))</f>
        <v>ok</v>
      </c>
      <c r="F38" s="78" t="str">
        <f aca="true" ca="1" t="shared" si="46" ref="F38:F46">MID(VLOOKUP($F$2,INDIRECT(A38),2,FALSE),1,3)</f>
        <v>CAD</v>
      </c>
      <c r="G38" s="78" t="str">
        <f aca="true" t="shared" si="47" ref="G38:G46">IF(C38=1,"TBD","/")</f>
        <v>/</v>
      </c>
      <c r="H38" s="80" t="str">
        <f aca="true" t="shared" si="48" ref="H38:H46">IF(C38&lt;&gt;1,"TBD from created superior equipment","/")</f>
        <v>TBD from created superior equipment</v>
      </c>
      <c r="I38" s="80" t="s">
        <v>879</v>
      </c>
      <c r="J38" s="80" t="str">
        <f ca="1">CONCATENATE(MID(VLOOKUP($J$2,INDIRECT(A38),3,FALSE),6,99)," ",VLOOKUP($J$3,INDIRECT(A38),3,FALSE))</f>
        <v>Analyzer LEL</v>
      </c>
      <c r="K38" s="78" t="str">
        <f aca="true" t="shared" si="49" ref="K38:K46">+F38</f>
        <v>CAD</v>
      </c>
      <c r="L38" s="78" t="str">
        <f aca="true" t="shared" si="50" ref="L38:L46">+G38</f>
        <v>/</v>
      </c>
      <c r="M38" s="80" t="str">
        <f aca="true" t="shared" si="51" ref="M38:M46">+H38</f>
        <v>TBD from created superior equipment</v>
      </c>
      <c r="N38" s="80" t="str">
        <f aca="true" ca="1" t="shared" si="52" ref="N38:N46">VLOOKUP($N$2,INDIRECT(A38),2,FALSE)</f>
        <v>/</v>
      </c>
      <c r="O38" s="80" t="s">
        <v>879</v>
      </c>
      <c r="P38" s="80" t="s">
        <v>879</v>
      </c>
      <c r="Q38" s="80" t="s">
        <v>879</v>
      </c>
      <c r="R38" s="80" t="s">
        <v>879</v>
      </c>
      <c r="S38" s="80" t="s">
        <v>879</v>
      </c>
      <c r="T38" s="80" t="str">
        <f aca="true" ca="1" t="shared" si="53" ref="T38:T46">MID(VLOOKUP($T$2,INDIRECT(A38),2,FALSE),1,4)</f>
        <v>4304</v>
      </c>
      <c r="U38" s="80" t="s">
        <v>879</v>
      </c>
      <c r="V38" s="80" t="s">
        <v>879</v>
      </c>
      <c r="W38" s="80" t="s">
        <v>879</v>
      </c>
      <c r="X38" s="80" t="str">
        <f aca="true" ca="1" t="shared" si="54" ref="X38:X46">VLOOKUP($X$2,INDIRECT(A38),2,FALSE)</f>
        <v>/</v>
      </c>
      <c r="Y38" s="80" t="str">
        <f aca="true" ca="1" t="shared" si="55" ref="Y38:Y46">VLOOKUP($Y$2,INDIRECT(A38),2,FALSE)</f>
        <v>/</v>
      </c>
      <c r="Z38" s="80" t="str">
        <f ca="1" t="shared" si="33"/>
        <v>/</v>
      </c>
      <c r="AA38" s="80" t="str">
        <f ca="1" t="shared" si="34"/>
        <v>/</v>
      </c>
      <c r="AB38" s="80" t="s">
        <v>879</v>
      </c>
      <c r="AC38" s="80" t="str">
        <f ca="1" t="shared" si="35"/>
        <v>/</v>
      </c>
      <c r="AD38" s="80" t="s">
        <v>879</v>
      </c>
      <c r="AE38" s="80" t="s">
        <v>879</v>
      </c>
      <c r="AF38" s="80" t="s">
        <v>879</v>
      </c>
      <c r="AG38" s="80" t="s">
        <v>879</v>
      </c>
      <c r="AH38" s="80" t="s">
        <v>879</v>
      </c>
      <c r="AI38" s="80" t="s">
        <v>879</v>
      </c>
      <c r="AJ38" s="78" t="str">
        <f aca="true" t="shared" si="56" ref="AJ38:AJ46">CONCATENATE(MID(K38,1,3),"_",VLOOKUP(T38,XREF2,3,FALSE),1)</f>
        <v>CAD_INS1</v>
      </c>
      <c r="AK38" s="78">
        <f aca="true" t="shared" si="57" ref="AK38:AK46">VLOOKUP(T38,XREF2,2,FALSE)</f>
        <v>4304</v>
      </c>
    </row>
    <row r="39" spans="1:37" ht="12.75">
      <c r="A39" s="81" t="s">
        <v>1325</v>
      </c>
      <c r="B39" s="32" t="str">
        <f t="shared" si="36"/>
        <v>Analyzer</v>
      </c>
      <c r="C39" s="32">
        <v>3</v>
      </c>
      <c r="D39" s="33"/>
      <c r="E39" s="34" t="str">
        <f t="shared" si="45"/>
        <v>ok</v>
      </c>
      <c r="F39" s="32" t="str">
        <f ca="1" t="shared" si="46"/>
        <v>CAD</v>
      </c>
      <c r="G39" s="32" t="str">
        <f t="shared" si="47"/>
        <v>/</v>
      </c>
      <c r="H39" s="34" t="str">
        <f t="shared" si="48"/>
        <v>TBD from created superior equipment</v>
      </c>
      <c r="I39" s="35" t="s">
        <v>879</v>
      </c>
      <c r="J39" s="35" t="str">
        <f aca="true" ca="1" t="shared" si="58" ref="J39:J45">CONCATENATE(MID(VLOOKUP($J$2,INDIRECT(A39),2,FALSE),6,99)," ",VLOOKUP($J$3,INDIRECT(A39),2,FALSE))</f>
        <v>Analyzer H2S</v>
      </c>
      <c r="K39" t="str">
        <f t="shared" si="49"/>
        <v>CAD</v>
      </c>
      <c r="L39" t="str">
        <f t="shared" si="50"/>
        <v>/</v>
      </c>
      <c r="M39" s="35" t="str">
        <f t="shared" si="51"/>
        <v>TBD from created superior equipment</v>
      </c>
      <c r="N39" s="35" t="str">
        <f ca="1" t="shared" si="52"/>
        <v>/</v>
      </c>
      <c r="O39" s="35" t="s">
        <v>879</v>
      </c>
      <c r="P39" s="35" t="s">
        <v>879</v>
      </c>
      <c r="Q39" s="35" t="s">
        <v>879</v>
      </c>
      <c r="R39" s="35" t="s">
        <v>879</v>
      </c>
      <c r="S39" s="35" t="s">
        <v>879</v>
      </c>
      <c r="T39" s="35" t="str">
        <f ca="1" t="shared" si="53"/>
        <v>4304</v>
      </c>
      <c r="U39" s="35" t="s">
        <v>879</v>
      </c>
      <c r="V39" s="35" t="s">
        <v>879</v>
      </c>
      <c r="W39" s="35" t="s">
        <v>879</v>
      </c>
      <c r="X39" s="35" t="str">
        <f ca="1" t="shared" si="54"/>
        <v>/</v>
      </c>
      <c r="Y39" s="35" t="str">
        <f ca="1" t="shared" si="55"/>
        <v>/</v>
      </c>
      <c r="Z39" s="35" t="str">
        <f ca="1" t="shared" si="33"/>
        <v>/</v>
      </c>
      <c r="AA39" s="35" t="str">
        <f ca="1" t="shared" si="34"/>
        <v>/</v>
      </c>
      <c r="AB39" s="35" t="s">
        <v>879</v>
      </c>
      <c r="AC39" s="35" t="str">
        <f ca="1" t="shared" si="35"/>
        <v>/</v>
      </c>
      <c r="AD39" s="35" t="s">
        <v>879</v>
      </c>
      <c r="AE39" s="35" t="s">
        <v>879</v>
      </c>
      <c r="AF39" s="35" t="s">
        <v>879</v>
      </c>
      <c r="AG39" s="35" t="s">
        <v>879</v>
      </c>
      <c r="AH39" s="35" t="s">
        <v>879</v>
      </c>
      <c r="AI39" s="35" t="s">
        <v>879</v>
      </c>
      <c r="AJ39" t="str">
        <f t="shared" si="56"/>
        <v>CAD_INS1</v>
      </c>
      <c r="AK39">
        <f t="shared" si="57"/>
        <v>4304</v>
      </c>
    </row>
    <row r="40" spans="1:37" ht="12.75">
      <c r="A40" s="82" t="s">
        <v>1325</v>
      </c>
      <c r="B40" s="78" t="str">
        <f t="shared" si="36"/>
        <v>Analyzer</v>
      </c>
      <c r="C40" s="78">
        <v>3</v>
      </c>
      <c r="D40" s="79"/>
      <c r="E40" s="80" t="str">
        <f t="shared" si="45"/>
        <v>ok</v>
      </c>
      <c r="F40" s="78" t="str">
        <f ca="1" t="shared" si="46"/>
        <v>CAD</v>
      </c>
      <c r="G40" s="78" t="str">
        <f t="shared" si="47"/>
        <v>/</v>
      </c>
      <c r="H40" s="80" t="str">
        <f t="shared" si="48"/>
        <v>TBD from created superior equipment</v>
      </c>
      <c r="I40" s="80" t="s">
        <v>879</v>
      </c>
      <c r="J40" s="80" t="str">
        <f ca="1">CONCATENATE(MID(VLOOKUP($J$2,INDIRECT(A40),3,FALSE),6,99)," ",VLOOKUP($J$3,INDIRECT(A40),3,FALSE))</f>
        <v>Analyzer H2S</v>
      </c>
      <c r="K40" s="78" t="str">
        <f t="shared" si="49"/>
        <v>CAD</v>
      </c>
      <c r="L40" s="78" t="str">
        <f t="shared" si="50"/>
        <v>/</v>
      </c>
      <c r="M40" s="80" t="str">
        <f t="shared" si="51"/>
        <v>TBD from created superior equipment</v>
      </c>
      <c r="N40" s="80" t="str">
        <f ca="1" t="shared" si="52"/>
        <v>/</v>
      </c>
      <c r="O40" s="80" t="s">
        <v>879</v>
      </c>
      <c r="P40" s="80" t="s">
        <v>879</v>
      </c>
      <c r="Q40" s="80" t="s">
        <v>879</v>
      </c>
      <c r="R40" s="80" t="s">
        <v>879</v>
      </c>
      <c r="S40" s="80" t="s">
        <v>879</v>
      </c>
      <c r="T40" s="80" t="str">
        <f ca="1" t="shared" si="53"/>
        <v>4304</v>
      </c>
      <c r="U40" s="80" t="s">
        <v>879</v>
      </c>
      <c r="V40" s="80" t="s">
        <v>879</v>
      </c>
      <c r="W40" s="80" t="s">
        <v>879</v>
      </c>
      <c r="X40" s="80" t="str">
        <f ca="1" t="shared" si="54"/>
        <v>/</v>
      </c>
      <c r="Y40" s="80" t="str">
        <f ca="1" t="shared" si="55"/>
        <v>/</v>
      </c>
      <c r="Z40" s="80" t="str">
        <f ca="1" t="shared" si="33"/>
        <v>/</v>
      </c>
      <c r="AA40" s="80" t="str">
        <f ca="1" t="shared" si="34"/>
        <v>/</v>
      </c>
      <c r="AB40" s="80" t="s">
        <v>879</v>
      </c>
      <c r="AC40" s="80" t="str">
        <f ca="1" t="shared" si="35"/>
        <v>/</v>
      </c>
      <c r="AD40" s="80" t="s">
        <v>879</v>
      </c>
      <c r="AE40" s="80" t="s">
        <v>879</v>
      </c>
      <c r="AF40" s="80" t="s">
        <v>879</v>
      </c>
      <c r="AG40" s="80" t="s">
        <v>879</v>
      </c>
      <c r="AH40" s="80" t="s">
        <v>879</v>
      </c>
      <c r="AI40" s="80" t="s">
        <v>879</v>
      </c>
      <c r="AJ40" s="78" t="str">
        <f t="shared" si="56"/>
        <v>CAD_INS1</v>
      </c>
      <c r="AK40" s="78">
        <f t="shared" si="57"/>
        <v>4304</v>
      </c>
    </row>
    <row r="41" spans="1:37" ht="12.75">
      <c r="A41" s="81" t="s">
        <v>1326</v>
      </c>
      <c r="B41" s="32" t="str">
        <f t="shared" si="36"/>
        <v>Analyzer</v>
      </c>
      <c r="C41" s="32">
        <v>3</v>
      </c>
      <c r="D41" s="33"/>
      <c r="E41" s="34" t="str">
        <f t="shared" si="45"/>
        <v>ok</v>
      </c>
      <c r="F41" s="32" t="str">
        <f ca="1" t="shared" si="46"/>
        <v>CAD</v>
      </c>
      <c r="G41" s="32" t="str">
        <f t="shared" si="47"/>
        <v>/</v>
      </c>
      <c r="H41" s="34" t="str">
        <f t="shared" si="48"/>
        <v>TBD from created superior equipment</v>
      </c>
      <c r="I41" s="35" t="s">
        <v>879</v>
      </c>
      <c r="J41" s="35" t="str">
        <f ca="1" t="shared" si="58"/>
        <v>Analyzer Fire Eye</v>
      </c>
      <c r="K41" t="str">
        <f t="shared" si="49"/>
        <v>CAD</v>
      </c>
      <c r="L41" t="str">
        <f t="shared" si="50"/>
        <v>/</v>
      </c>
      <c r="M41" s="35" t="str">
        <f t="shared" si="51"/>
        <v>TBD from created superior equipment</v>
      </c>
      <c r="N41" s="35" t="str">
        <f ca="1" t="shared" si="52"/>
        <v>/</v>
      </c>
      <c r="O41" s="35" t="s">
        <v>879</v>
      </c>
      <c r="P41" s="35" t="s">
        <v>879</v>
      </c>
      <c r="Q41" s="35" t="s">
        <v>879</v>
      </c>
      <c r="R41" s="35" t="s">
        <v>879</v>
      </c>
      <c r="S41" s="35" t="s">
        <v>879</v>
      </c>
      <c r="T41" s="35" t="str">
        <f ca="1" t="shared" si="53"/>
        <v>4304</v>
      </c>
      <c r="U41" s="35" t="s">
        <v>879</v>
      </c>
      <c r="V41" s="35" t="s">
        <v>879</v>
      </c>
      <c r="W41" s="35" t="s">
        <v>879</v>
      </c>
      <c r="X41" s="35" t="str">
        <f ca="1" t="shared" si="54"/>
        <v>/</v>
      </c>
      <c r="Y41" s="35" t="str">
        <f ca="1" t="shared" si="55"/>
        <v>/</v>
      </c>
      <c r="Z41" s="35" t="str">
        <f ca="1" t="shared" si="33"/>
        <v>/</v>
      </c>
      <c r="AA41" s="35" t="str">
        <f ca="1" t="shared" si="34"/>
        <v>/</v>
      </c>
      <c r="AB41" s="35" t="s">
        <v>879</v>
      </c>
      <c r="AC41" s="35" t="str">
        <f ca="1" t="shared" si="35"/>
        <v>/</v>
      </c>
      <c r="AD41" s="35" t="s">
        <v>879</v>
      </c>
      <c r="AE41" s="35" t="s">
        <v>879</v>
      </c>
      <c r="AF41" s="35" t="s">
        <v>879</v>
      </c>
      <c r="AG41" s="35" t="s">
        <v>879</v>
      </c>
      <c r="AH41" s="35" t="s">
        <v>879</v>
      </c>
      <c r="AI41" s="35" t="s">
        <v>879</v>
      </c>
      <c r="AJ41" t="str">
        <f t="shared" si="56"/>
        <v>CAD_INS1</v>
      </c>
      <c r="AK41">
        <f t="shared" si="57"/>
        <v>4304</v>
      </c>
    </row>
    <row r="42" spans="1:37" ht="12.75">
      <c r="A42" s="82" t="s">
        <v>1326</v>
      </c>
      <c r="B42" s="78" t="str">
        <f t="shared" si="36"/>
        <v>Analyzer</v>
      </c>
      <c r="C42" s="78">
        <v>3</v>
      </c>
      <c r="D42" s="79"/>
      <c r="E42" s="80" t="str">
        <f t="shared" si="45"/>
        <v>ok</v>
      </c>
      <c r="F42" s="78" t="str">
        <f ca="1" t="shared" si="46"/>
        <v>CAD</v>
      </c>
      <c r="G42" s="78" t="str">
        <f t="shared" si="47"/>
        <v>/</v>
      </c>
      <c r="H42" s="80" t="str">
        <f t="shared" si="48"/>
        <v>TBD from created superior equipment</v>
      </c>
      <c r="I42" s="80" t="s">
        <v>879</v>
      </c>
      <c r="J42" s="80" t="str">
        <f ca="1">CONCATENATE(MID(VLOOKUP($J$2,INDIRECT(A42),3,FALSE),6,99)," ",VLOOKUP($J$3,INDIRECT(A42),3,FALSE))</f>
        <v>Analyzer Fire Eye</v>
      </c>
      <c r="K42" s="78" t="str">
        <f t="shared" si="49"/>
        <v>CAD</v>
      </c>
      <c r="L42" s="78" t="str">
        <f t="shared" si="50"/>
        <v>/</v>
      </c>
      <c r="M42" s="80" t="str">
        <f t="shared" si="51"/>
        <v>TBD from created superior equipment</v>
      </c>
      <c r="N42" s="80" t="str">
        <f ca="1" t="shared" si="52"/>
        <v>/</v>
      </c>
      <c r="O42" s="80" t="s">
        <v>879</v>
      </c>
      <c r="P42" s="80" t="s">
        <v>879</v>
      </c>
      <c r="Q42" s="80" t="s">
        <v>879</v>
      </c>
      <c r="R42" s="80" t="s">
        <v>879</v>
      </c>
      <c r="S42" s="80" t="s">
        <v>879</v>
      </c>
      <c r="T42" s="80" t="str">
        <f ca="1" t="shared" si="53"/>
        <v>4304</v>
      </c>
      <c r="U42" s="80" t="s">
        <v>879</v>
      </c>
      <c r="V42" s="80" t="s">
        <v>879</v>
      </c>
      <c r="W42" s="80" t="s">
        <v>879</v>
      </c>
      <c r="X42" s="80" t="str">
        <f ca="1" t="shared" si="54"/>
        <v>/</v>
      </c>
      <c r="Y42" s="80" t="str">
        <f ca="1" t="shared" si="55"/>
        <v>/</v>
      </c>
      <c r="Z42" s="80" t="str">
        <f ca="1" t="shared" si="33"/>
        <v>/</v>
      </c>
      <c r="AA42" s="80" t="str">
        <f ca="1" t="shared" si="34"/>
        <v>/</v>
      </c>
      <c r="AB42" s="80" t="s">
        <v>879</v>
      </c>
      <c r="AC42" s="80" t="str">
        <f ca="1" t="shared" si="35"/>
        <v>/</v>
      </c>
      <c r="AD42" s="80" t="s">
        <v>879</v>
      </c>
      <c r="AE42" s="80" t="s">
        <v>879</v>
      </c>
      <c r="AF42" s="80" t="s">
        <v>879</v>
      </c>
      <c r="AG42" s="80" t="s">
        <v>879</v>
      </c>
      <c r="AH42" s="80" t="s">
        <v>879</v>
      </c>
      <c r="AI42" s="80" t="s">
        <v>879</v>
      </c>
      <c r="AJ42" s="78" t="str">
        <f t="shared" si="56"/>
        <v>CAD_INS1</v>
      </c>
      <c r="AK42" s="78">
        <f t="shared" si="57"/>
        <v>4304</v>
      </c>
    </row>
    <row r="43" spans="1:37" ht="12.75">
      <c r="A43" s="81" t="s">
        <v>1327</v>
      </c>
      <c r="B43" s="32" t="str">
        <f t="shared" si="36"/>
        <v>Analyzer</v>
      </c>
      <c r="C43" s="32">
        <v>3</v>
      </c>
      <c r="D43" s="33"/>
      <c r="E43" s="34" t="str">
        <f t="shared" si="45"/>
        <v>ok</v>
      </c>
      <c r="F43" s="32" t="str">
        <f ca="1" t="shared" si="46"/>
        <v>CAD</v>
      </c>
      <c r="G43" s="32" t="str">
        <f t="shared" si="47"/>
        <v>/</v>
      </c>
      <c r="H43" s="34" t="str">
        <f t="shared" si="48"/>
        <v>TBD from created superior equipment</v>
      </c>
      <c r="I43" s="35" t="s">
        <v>879</v>
      </c>
      <c r="J43" s="35" t="str">
        <f ca="1" t="shared" si="58"/>
        <v>Analyzer O2</v>
      </c>
      <c r="K43" t="str">
        <f t="shared" si="49"/>
        <v>CAD</v>
      </c>
      <c r="L43" t="str">
        <f t="shared" si="50"/>
        <v>/</v>
      </c>
      <c r="M43" s="35" t="str">
        <f t="shared" si="51"/>
        <v>TBD from created superior equipment</v>
      </c>
      <c r="N43" s="35" t="str">
        <f ca="1" t="shared" si="52"/>
        <v>/</v>
      </c>
      <c r="O43" s="35" t="s">
        <v>879</v>
      </c>
      <c r="P43" s="35" t="s">
        <v>879</v>
      </c>
      <c r="Q43" s="35" t="s">
        <v>879</v>
      </c>
      <c r="R43" s="35" t="s">
        <v>879</v>
      </c>
      <c r="S43" s="35" t="s">
        <v>879</v>
      </c>
      <c r="T43" s="35" t="str">
        <f ca="1" t="shared" si="53"/>
        <v>4304</v>
      </c>
      <c r="U43" s="35" t="s">
        <v>879</v>
      </c>
      <c r="V43" s="35" t="s">
        <v>879</v>
      </c>
      <c r="W43" s="35" t="s">
        <v>879</v>
      </c>
      <c r="X43" s="35" t="str">
        <f ca="1" t="shared" si="54"/>
        <v>/</v>
      </c>
      <c r="Y43" s="35" t="str">
        <f ca="1" t="shared" si="55"/>
        <v>/</v>
      </c>
      <c r="Z43" s="35" t="str">
        <f ca="1" t="shared" si="33"/>
        <v>/</v>
      </c>
      <c r="AA43" s="35" t="str">
        <f ca="1" t="shared" si="34"/>
        <v>/</v>
      </c>
      <c r="AB43" s="35" t="s">
        <v>879</v>
      </c>
      <c r="AC43" s="35" t="str">
        <f ca="1" t="shared" si="35"/>
        <v>/</v>
      </c>
      <c r="AD43" s="35" t="s">
        <v>879</v>
      </c>
      <c r="AE43" s="35" t="s">
        <v>879</v>
      </c>
      <c r="AF43" s="35" t="s">
        <v>879</v>
      </c>
      <c r="AG43" s="35" t="s">
        <v>879</v>
      </c>
      <c r="AH43" s="35" t="s">
        <v>879</v>
      </c>
      <c r="AI43" s="35" t="s">
        <v>879</v>
      </c>
      <c r="AJ43" t="str">
        <f t="shared" si="56"/>
        <v>CAD_INS1</v>
      </c>
      <c r="AK43">
        <f t="shared" si="57"/>
        <v>4304</v>
      </c>
    </row>
    <row r="44" spans="1:37" ht="12.75">
      <c r="A44" s="82" t="s">
        <v>1327</v>
      </c>
      <c r="B44" s="78" t="str">
        <f t="shared" si="36"/>
        <v>Analyzer</v>
      </c>
      <c r="C44" s="78">
        <v>3</v>
      </c>
      <c r="D44" s="79"/>
      <c r="E44" s="80" t="str">
        <f t="shared" si="45"/>
        <v>ok</v>
      </c>
      <c r="F44" s="78" t="str">
        <f ca="1" t="shared" si="46"/>
        <v>CAD</v>
      </c>
      <c r="G44" s="78" t="str">
        <f t="shared" si="47"/>
        <v>/</v>
      </c>
      <c r="H44" s="80" t="str">
        <f t="shared" si="48"/>
        <v>TBD from created superior equipment</v>
      </c>
      <c r="I44" s="80" t="s">
        <v>879</v>
      </c>
      <c r="J44" s="80" t="str">
        <f ca="1">CONCATENATE(MID(VLOOKUP($J$2,INDIRECT(A44),3,FALSE),6,99)," ",VLOOKUP($J$3,INDIRECT(A44),3,FALSE))</f>
        <v>Analyzer O2</v>
      </c>
      <c r="K44" s="78" t="str">
        <f t="shared" si="49"/>
        <v>CAD</v>
      </c>
      <c r="L44" s="78" t="str">
        <f t="shared" si="50"/>
        <v>/</v>
      </c>
      <c r="M44" s="80" t="str">
        <f t="shared" si="51"/>
        <v>TBD from created superior equipment</v>
      </c>
      <c r="N44" s="80" t="str">
        <f ca="1" t="shared" si="52"/>
        <v>/</v>
      </c>
      <c r="O44" s="80" t="s">
        <v>879</v>
      </c>
      <c r="P44" s="80" t="s">
        <v>879</v>
      </c>
      <c r="Q44" s="80" t="s">
        <v>879</v>
      </c>
      <c r="R44" s="80" t="s">
        <v>879</v>
      </c>
      <c r="S44" s="80" t="s">
        <v>879</v>
      </c>
      <c r="T44" s="80" t="str">
        <f ca="1" t="shared" si="53"/>
        <v>4304</v>
      </c>
      <c r="U44" s="80" t="s">
        <v>879</v>
      </c>
      <c r="V44" s="80" t="s">
        <v>879</v>
      </c>
      <c r="W44" s="80" t="s">
        <v>879</v>
      </c>
      <c r="X44" s="80" t="str">
        <f ca="1" t="shared" si="54"/>
        <v>/</v>
      </c>
      <c r="Y44" s="80" t="str">
        <f ca="1" t="shared" si="55"/>
        <v>/</v>
      </c>
      <c r="Z44" s="80" t="str">
        <f ca="1" t="shared" si="33"/>
        <v>/</v>
      </c>
      <c r="AA44" s="80" t="str">
        <f ca="1" t="shared" si="34"/>
        <v>/</v>
      </c>
      <c r="AB44" s="80" t="s">
        <v>879</v>
      </c>
      <c r="AC44" s="80" t="str">
        <f ca="1" t="shared" si="35"/>
        <v>/</v>
      </c>
      <c r="AD44" s="80" t="s">
        <v>879</v>
      </c>
      <c r="AE44" s="80" t="s">
        <v>879</v>
      </c>
      <c r="AF44" s="80" t="s">
        <v>879</v>
      </c>
      <c r="AG44" s="80" t="s">
        <v>879</v>
      </c>
      <c r="AH44" s="80" t="s">
        <v>879</v>
      </c>
      <c r="AI44" s="80" t="s">
        <v>879</v>
      </c>
      <c r="AJ44" s="78" t="str">
        <f t="shared" si="56"/>
        <v>CAD_INS1</v>
      </c>
      <c r="AK44" s="78">
        <f t="shared" si="57"/>
        <v>4304</v>
      </c>
    </row>
    <row r="45" spans="1:37" ht="12.75">
      <c r="A45" s="81" t="s">
        <v>1328</v>
      </c>
      <c r="B45" s="32" t="str">
        <f t="shared" si="36"/>
        <v>Analyzer</v>
      </c>
      <c r="C45" s="32">
        <v>3</v>
      </c>
      <c r="D45" s="33"/>
      <c r="E45" s="34" t="str">
        <f t="shared" si="45"/>
        <v>ok</v>
      </c>
      <c r="F45" s="32" t="str">
        <f ca="1" t="shared" si="46"/>
        <v>CAD</v>
      </c>
      <c r="G45" s="32" t="str">
        <f t="shared" si="47"/>
        <v>/</v>
      </c>
      <c r="H45" s="34" t="str">
        <f t="shared" si="48"/>
        <v>TBD from created superior equipment</v>
      </c>
      <c r="I45" s="35" t="s">
        <v>879</v>
      </c>
      <c r="J45" s="35" t="str">
        <f ca="1" t="shared" si="58"/>
        <v>Analyzer CO2</v>
      </c>
      <c r="K45" t="str">
        <f t="shared" si="49"/>
        <v>CAD</v>
      </c>
      <c r="L45" t="str">
        <f t="shared" si="50"/>
        <v>/</v>
      </c>
      <c r="M45" s="35" t="str">
        <f t="shared" si="51"/>
        <v>TBD from created superior equipment</v>
      </c>
      <c r="N45" s="35" t="str">
        <f ca="1" t="shared" si="52"/>
        <v>/</v>
      </c>
      <c r="O45" s="35" t="s">
        <v>879</v>
      </c>
      <c r="P45" s="35" t="s">
        <v>879</v>
      </c>
      <c r="Q45" s="35" t="s">
        <v>879</v>
      </c>
      <c r="R45" s="35" t="s">
        <v>879</v>
      </c>
      <c r="S45" s="35" t="s">
        <v>879</v>
      </c>
      <c r="T45" s="35" t="str">
        <f ca="1" t="shared" si="53"/>
        <v>4304</v>
      </c>
      <c r="U45" s="35" t="s">
        <v>879</v>
      </c>
      <c r="V45" s="35" t="s">
        <v>879</v>
      </c>
      <c r="W45" s="35" t="s">
        <v>879</v>
      </c>
      <c r="X45" s="35" t="str">
        <f ca="1" t="shared" si="54"/>
        <v>/</v>
      </c>
      <c r="Y45" s="35" t="str">
        <f ca="1" t="shared" si="55"/>
        <v>/</v>
      </c>
      <c r="Z45" s="35" t="str">
        <f ca="1" t="shared" si="33"/>
        <v>/</v>
      </c>
      <c r="AA45" s="35" t="str">
        <f ca="1" t="shared" si="34"/>
        <v>/</v>
      </c>
      <c r="AB45" s="35" t="s">
        <v>879</v>
      </c>
      <c r="AC45" s="35" t="str">
        <f ca="1" t="shared" si="35"/>
        <v>/</v>
      </c>
      <c r="AD45" s="35" t="s">
        <v>879</v>
      </c>
      <c r="AE45" s="35" t="s">
        <v>879</v>
      </c>
      <c r="AF45" s="35" t="s">
        <v>879</v>
      </c>
      <c r="AG45" s="35" t="s">
        <v>879</v>
      </c>
      <c r="AH45" s="35" t="s">
        <v>879</v>
      </c>
      <c r="AI45" s="35" t="s">
        <v>879</v>
      </c>
      <c r="AJ45" t="str">
        <f t="shared" si="56"/>
        <v>CAD_INS1</v>
      </c>
      <c r="AK45">
        <f t="shared" si="57"/>
        <v>4304</v>
      </c>
    </row>
    <row r="46" spans="1:37" ht="12.75">
      <c r="A46" s="82" t="s">
        <v>1328</v>
      </c>
      <c r="B46" s="78" t="str">
        <f t="shared" si="36"/>
        <v>Analyzer</v>
      </c>
      <c r="C46" s="78">
        <v>3</v>
      </c>
      <c r="D46" s="79"/>
      <c r="E46" s="80" t="str">
        <f t="shared" si="45"/>
        <v>ok</v>
      </c>
      <c r="F46" s="78" t="str">
        <f ca="1" t="shared" si="46"/>
        <v>CAD</v>
      </c>
      <c r="G46" s="78" t="str">
        <f t="shared" si="47"/>
        <v>/</v>
      </c>
      <c r="H46" s="80" t="str">
        <f t="shared" si="48"/>
        <v>TBD from created superior equipment</v>
      </c>
      <c r="I46" s="80" t="s">
        <v>879</v>
      </c>
      <c r="J46" s="80" t="str">
        <f ca="1">CONCATENATE(MID(VLOOKUP($J$2,INDIRECT(A46),3,FALSE),6,99)," ",VLOOKUP($J$3,INDIRECT(A46),3,FALSE))</f>
        <v>Analyzer CO2</v>
      </c>
      <c r="K46" s="78" t="str">
        <f t="shared" si="49"/>
        <v>CAD</v>
      </c>
      <c r="L46" s="78" t="str">
        <f t="shared" si="50"/>
        <v>/</v>
      </c>
      <c r="M46" s="80" t="str">
        <f t="shared" si="51"/>
        <v>TBD from created superior equipment</v>
      </c>
      <c r="N46" s="80" t="str">
        <f ca="1" t="shared" si="52"/>
        <v>/</v>
      </c>
      <c r="O46" s="80" t="s">
        <v>879</v>
      </c>
      <c r="P46" s="80" t="s">
        <v>879</v>
      </c>
      <c r="Q46" s="80" t="s">
        <v>879</v>
      </c>
      <c r="R46" s="80" t="s">
        <v>879</v>
      </c>
      <c r="S46" s="80" t="s">
        <v>879</v>
      </c>
      <c r="T46" s="80" t="str">
        <f ca="1" t="shared" si="53"/>
        <v>4304</v>
      </c>
      <c r="U46" s="80" t="s">
        <v>879</v>
      </c>
      <c r="V46" s="80" t="s">
        <v>879</v>
      </c>
      <c r="W46" s="80" t="s">
        <v>879</v>
      </c>
      <c r="X46" s="80" t="str">
        <f ca="1" t="shared" si="54"/>
        <v>/</v>
      </c>
      <c r="Y46" s="80" t="str">
        <f ca="1" t="shared" si="55"/>
        <v>/</v>
      </c>
      <c r="Z46" s="80" t="str">
        <f ca="1" t="shared" si="33"/>
        <v>/</v>
      </c>
      <c r="AA46" s="80" t="str">
        <f ca="1" t="shared" si="34"/>
        <v>/</v>
      </c>
      <c r="AB46" s="80" t="s">
        <v>879</v>
      </c>
      <c r="AC46" s="80" t="str">
        <f ca="1" t="shared" si="35"/>
        <v>/</v>
      </c>
      <c r="AD46" s="80" t="s">
        <v>879</v>
      </c>
      <c r="AE46" s="80" t="s">
        <v>879</v>
      </c>
      <c r="AF46" s="80" t="s">
        <v>879</v>
      </c>
      <c r="AG46" s="80" t="s">
        <v>879</v>
      </c>
      <c r="AH46" s="80" t="s">
        <v>879</v>
      </c>
      <c r="AI46" s="80" t="s">
        <v>879</v>
      </c>
      <c r="AJ46" s="78" t="str">
        <f t="shared" si="56"/>
        <v>CAD_INS1</v>
      </c>
      <c r="AK46" s="78">
        <f t="shared" si="57"/>
        <v>4304</v>
      </c>
    </row>
    <row r="47" spans="1:37" ht="12.75">
      <c r="A47" s="81" t="s">
        <v>1238</v>
      </c>
      <c r="B47" s="32" t="str">
        <f t="shared" si="36"/>
        <v>Transmitter</v>
      </c>
      <c r="C47" s="32">
        <v>3</v>
      </c>
      <c r="D47" s="33"/>
      <c r="E47" s="34" t="str">
        <f t="shared" si="37"/>
        <v>ok</v>
      </c>
      <c r="F47" s="32" t="str">
        <f ca="1" t="shared" si="27"/>
        <v>CAD</v>
      </c>
      <c r="G47" s="32" t="str">
        <f t="shared" si="38"/>
        <v>/</v>
      </c>
      <c r="H47" s="34" t="str">
        <f t="shared" si="39"/>
        <v>TBD from created superior equipment</v>
      </c>
      <c r="I47" s="35" t="s">
        <v>879</v>
      </c>
      <c r="J47" s="35" t="str">
        <f ca="1" t="shared" si="28"/>
        <v>Transmitter </v>
      </c>
      <c r="K47" t="str">
        <f t="shared" si="40"/>
        <v>CAD</v>
      </c>
      <c r="L47" t="str">
        <f t="shared" si="41"/>
        <v>/</v>
      </c>
      <c r="M47" s="35" t="str">
        <f t="shared" si="42"/>
        <v>TBD from created superior equipment</v>
      </c>
      <c r="N47" s="35" t="str">
        <f ca="1" t="shared" si="29"/>
        <v>/</v>
      </c>
      <c r="O47" s="35" t="s">
        <v>879</v>
      </c>
      <c r="P47" s="35" t="s">
        <v>879</v>
      </c>
      <c r="Q47" s="35" t="s">
        <v>879</v>
      </c>
      <c r="R47" s="35" t="s">
        <v>879</v>
      </c>
      <c r="S47" s="35" t="s">
        <v>879</v>
      </c>
      <c r="T47" s="35" t="str">
        <f ca="1" t="shared" si="30"/>
        <v>4305</v>
      </c>
      <c r="U47" s="35" t="s">
        <v>879</v>
      </c>
      <c r="V47" s="35" t="s">
        <v>879</v>
      </c>
      <c r="W47" s="35" t="s">
        <v>879</v>
      </c>
      <c r="X47" s="35" t="str">
        <f ca="1" t="shared" si="31"/>
        <v>/</v>
      </c>
      <c r="Y47" s="35" t="str">
        <f ca="1" t="shared" si="32"/>
        <v>/</v>
      </c>
      <c r="Z47" s="35" t="str">
        <f ca="1" t="shared" si="33"/>
        <v>/</v>
      </c>
      <c r="AA47" s="35" t="str">
        <f ca="1" t="shared" si="34"/>
        <v>/</v>
      </c>
      <c r="AB47" s="35" t="s">
        <v>879</v>
      </c>
      <c r="AC47" s="35" t="str">
        <f ca="1" t="shared" si="35"/>
        <v>/</v>
      </c>
      <c r="AD47" s="35" t="s">
        <v>879</v>
      </c>
      <c r="AE47" s="35" t="s">
        <v>879</v>
      </c>
      <c r="AF47" s="35" t="s">
        <v>879</v>
      </c>
      <c r="AG47" s="35" t="s">
        <v>879</v>
      </c>
      <c r="AH47" s="35" t="s">
        <v>879</v>
      </c>
      <c r="AI47" s="35" t="s">
        <v>879</v>
      </c>
      <c r="AJ47" t="str">
        <f t="shared" si="43"/>
        <v>CAD_INS1</v>
      </c>
      <c r="AK47">
        <f t="shared" si="44"/>
        <v>4305</v>
      </c>
    </row>
    <row r="48" spans="1:37" ht="12.75">
      <c r="A48" s="81" t="s">
        <v>1239</v>
      </c>
      <c r="B48" s="32" t="str">
        <f t="shared" si="36"/>
        <v>Recorder</v>
      </c>
      <c r="C48" s="32">
        <v>3</v>
      </c>
      <c r="D48" s="33"/>
      <c r="E48" s="34" t="str">
        <f t="shared" si="37"/>
        <v>ok</v>
      </c>
      <c r="F48" s="32" t="str">
        <f ca="1" t="shared" si="27"/>
        <v>CAD</v>
      </c>
      <c r="G48" s="32" t="str">
        <f t="shared" si="38"/>
        <v>/</v>
      </c>
      <c r="H48" s="34" t="str">
        <f t="shared" si="39"/>
        <v>TBD from created superior equipment</v>
      </c>
      <c r="I48" s="35" t="s">
        <v>879</v>
      </c>
      <c r="J48" s="35" t="str">
        <f ca="1" t="shared" si="28"/>
        <v>Recorder </v>
      </c>
      <c r="K48" t="str">
        <f t="shared" si="40"/>
        <v>CAD</v>
      </c>
      <c r="L48" t="str">
        <f t="shared" si="41"/>
        <v>/</v>
      </c>
      <c r="M48" s="35" t="str">
        <f t="shared" si="42"/>
        <v>TBD from created superior equipment</v>
      </c>
      <c r="N48" s="35" t="str">
        <f ca="1" t="shared" si="29"/>
        <v>/</v>
      </c>
      <c r="O48" s="35" t="s">
        <v>879</v>
      </c>
      <c r="P48" s="35" t="s">
        <v>879</v>
      </c>
      <c r="Q48" s="35" t="s">
        <v>879</v>
      </c>
      <c r="R48" s="35" t="s">
        <v>879</v>
      </c>
      <c r="S48" s="35" t="s">
        <v>879</v>
      </c>
      <c r="T48" s="35" t="str">
        <f ca="1" t="shared" si="30"/>
        <v>4316</v>
      </c>
      <c r="U48" s="35" t="s">
        <v>879</v>
      </c>
      <c r="V48" s="35" t="s">
        <v>879</v>
      </c>
      <c r="W48" s="35" t="s">
        <v>879</v>
      </c>
      <c r="X48" s="35" t="str">
        <f ca="1" t="shared" si="31"/>
        <v>/</v>
      </c>
      <c r="Y48" s="35" t="str">
        <f ca="1" t="shared" si="32"/>
        <v>/</v>
      </c>
      <c r="Z48" s="35" t="str">
        <f ca="1" t="shared" si="33"/>
        <v>/</v>
      </c>
      <c r="AA48" s="35" t="str">
        <f ca="1" t="shared" si="34"/>
        <v>/</v>
      </c>
      <c r="AB48" s="35" t="s">
        <v>879</v>
      </c>
      <c r="AC48" s="35" t="str">
        <f ca="1" t="shared" si="35"/>
        <v>/</v>
      </c>
      <c r="AD48" s="35" t="s">
        <v>879</v>
      </c>
      <c r="AE48" s="35" t="s">
        <v>879</v>
      </c>
      <c r="AF48" s="35" t="s">
        <v>879</v>
      </c>
      <c r="AG48" s="35" t="s">
        <v>879</v>
      </c>
      <c r="AH48" s="35" t="s">
        <v>879</v>
      </c>
      <c r="AI48" s="35" t="s">
        <v>879</v>
      </c>
      <c r="AJ48" t="str">
        <f t="shared" si="43"/>
        <v>CAD_INS1</v>
      </c>
      <c r="AK48">
        <f t="shared" si="44"/>
        <v>4316</v>
      </c>
    </row>
    <row r="49" spans="1:37" ht="12.75">
      <c r="A49" s="81" t="s">
        <v>1278</v>
      </c>
      <c r="B49" s="32" t="str">
        <f t="shared" si="36"/>
        <v>Gearbox Var Spd</v>
      </c>
      <c r="C49" s="32">
        <v>3</v>
      </c>
      <c r="D49" s="33"/>
      <c r="E49" s="32" t="str">
        <f t="shared" si="37"/>
        <v>ok</v>
      </c>
      <c r="F49" s="32" t="str">
        <f ca="1" t="shared" si="27"/>
        <v>CAD</v>
      </c>
      <c r="G49" s="32" t="str">
        <f t="shared" si="38"/>
        <v>/</v>
      </c>
      <c r="H49" s="32" t="str">
        <f t="shared" si="39"/>
        <v>TBD from created superior equipment</v>
      </c>
      <c r="I49" s="35" t="s">
        <v>879</v>
      </c>
      <c r="J49" t="str">
        <f ca="1" t="shared" si="28"/>
        <v>Gearbox Var Spd </v>
      </c>
      <c r="K49" t="str">
        <f t="shared" si="40"/>
        <v>CAD</v>
      </c>
      <c r="L49" t="str">
        <f t="shared" si="41"/>
        <v>/</v>
      </c>
      <c r="M49" s="35" t="str">
        <f t="shared" si="42"/>
        <v>TBD from created superior equipment</v>
      </c>
      <c r="N49" s="35" t="str">
        <f ca="1" t="shared" si="29"/>
        <v>/</v>
      </c>
      <c r="O49" s="35" t="s">
        <v>879</v>
      </c>
      <c r="P49" s="35" t="s">
        <v>879</v>
      </c>
      <c r="Q49" s="35" t="s">
        <v>879</v>
      </c>
      <c r="R49" s="35" t="s">
        <v>879</v>
      </c>
      <c r="S49" s="35" t="s">
        <v>879</v>
      </c>
      <c r="T49" s="35" t="str">
        <f ca="1" t="shared" si="30"/>
        <v>6304</v>
      </c>
      <c r="U49" s="35" t="s">
        <v>879</v>
      </c>
      <c r="V49" s="35" t="s">
        <v>879</v>
      </c>
      <c r="W49" s="35" t="s">
        <v>879</v>
      </c>
      <c r="X49" s="35" t="str">
        <f ca="1" t="shared" si="31"/>
        <v>/</v>
      </c>
      <c r="Y49" s="35" t="str">
        <f ca="1" t="shared" si="32"/>
        <v>/</v>
      </c>
      <c r="Z49" s="35" t="str">
        <f ca="1" t="shared" si="33"/>
        <v>/</v>
      </c>
      <c r="AA49" s="35" t="str">
        <f ca="1" t="shared" si="34"/>
        <v>/</v>
      </c>
      <c r="AB49" s="35" t="s">
        <v>879</v>
      </c>
      <c r="AC49" s="35" t="str">
        <f ca="1" t="shared" si="35"/>
        <v>/</v>
      </c>
      <c r="AD49" s="35" t="s">
        <v>879</v>
      </c>
      <c r="AE49" s="35" t="s">
        <v>879</v>
      </c>
      <c r="AF49" s="35" t="s">
        <v>879</v>
      </c>
      <c r="AG49" s="35" t="s">
        <v>879</v>
      </c>
      <c r="AH49" s="35" t="s">
        <v>879</v>
      </c>
      <c r="AI49" s="35" t="s">
        <v>879</v>
      </c>
      <c r="AJ49" t="str">
        <f t="shared" si="43"/>
        <v>CAD_MEC1</v>
      </c>
      <c r="AK49">
        <f t="shared" si="44"/>
        <v>6304</v>
      </c>
    </row>
    <row r="50" spans="1:37" ht="12.75">
      <c r="A50" s="81" t="s">
        <v>1240</v>
      </c>
      <c r="B50" s="32" t="str">
        <f t="shared" si="36"/>
        <v>Cylinder Comp</v>
      </c>
      <c r="C50" s="32">
        <v>3</v>
      </c>
      <c r="D50" s="33"/>
      <c r="E50" s="34" t="str">
        <f t="shared" si="37"/>
        <v>ok</v>
      </c>
      <c r="F50" s="32" t="str">
        <f ca="1" t="shared" si="27"/>
        <v>CAD</v>
      </c>
      <c r="G50" s="32" t="str">
        <f t="shared" si="38"/>
        <v>/</v>
      </c>
      <c r="H50" s="34" t="str">
        <f t="shared" si="39"/>
        <v>TBD from created superior equipment</v>
      </c>
      <c r="I50" s="35" t="s">
        <v>879</v>
      </c>
      <c r="J50" s="35" t="str">
        <f ca="1" t="shared" si="28"/>
        <v>Cylinder Comp Cylinder Comp (Stage  2)</v>
      </c>
      <c r="K50" t="str">
        <f t="shared" si="40"/>
        <v>CAD</v>
      </c>
      <c r="L50" t="str">
        <f t="shared" si="41"/>
        <v>/</v>
      </c>
      <c r="M50" s="35" t="str">
        <f t="shared" si="42"/>
        <v>TBD from created superior equipment</v>
      </c>
      <c r="N50" s="35" t="str">
        <f ca="1" t="shared" si="29"/>
        <v>/</v>
      </c>
      <c r="O50" s="35" t="s">
        <v>879</v>
      </c>
      <c r="P50" s="35" t="s">
        <v>879</v>
      </c>
      <c r="Q50" s="35" t="s">
        <v>879</v>
      </c>
      <c r="R50" s="35" t="s">
        <v>879</v>
      </c>
      <c r="S50" s="35" t="s">
        <v>879</v>
      </c>
      <c r="T50" s="35" t="str">
        <f ca="1" t="shared" si="30"/>
        <v>6803</v>
      </c>
      <c r="U50" s="35" t="s">
        <v>879</v>
      </c>
      <c r="V50" s="35" t="s">
        <v>879</v>
      </c>
      <c r="W50" s="35" t="s">
        <v>879</v>
      </c>
      <c r="X50" s="35" t="str">
        <f ca="1" t="shared" si="31"/>
        <v>Ariel Corporation</v>
      </c>
      <c r="Y50" s="35" t="str">
        <f ca="1" t="shared" si="32"/>
        <v>/</v>
      </c>
      <c r="Z50" s="35" t="str">
        <f ca="1" t="shared" si="33"/>
        <v>/</v>
      </c>
      <c r="AA50" s="35" t="str">
        <f ca="1" t="shared" si="34"/>
        <v>C16351</v>
      </c>
      <c r="AB50" s="35" t="s">
        <v>879</v>
      </c>
      <c r="AC50" s="35" t="str">
        <f ca="1" t="shared" si="35"/>
        <v>/</v>
      </c>
      <c r="AD50" s="35" t="s">
        <v>879</v>
      </c>
      <c r="AE50" s="35" t="s">
        <v>879</v>
      </c>
      <c r="AF50" s="35" t="s">
        <v>879</v>
      </c>
      <c r="AG50" s="35" t="s">
        <v>879</v>
      </c>
      <c r="AH50" s="35" t="s">
        <v>879</v>
      </c>
      <c r="AI50" s="35" t="s">
        <v>879</v>
      </c>
      <c r="AJ50" t="str">
        <f t="shared" si="43"/>
        <v>CAD_MEC1</v>
      </c>
      <c r="AK50">
        <f t="shared" si="44"/>
        <v>6803</v>
      </c>
    </row>
    <row r="51" spans="1:37" ht="12.75">
      <c r="A51" s="82" t="s">
        <v>1240</v>
      </c>
      <c r="B51" s="78" t="str">
        <f t="shared" si="36"/>
        <v>Cylinder Comp</v>
      </c>
      <c r="C51" s="78">
        <v>3</v>
      </c>
      <c r="D51" s="79"/>
      <c r="E51" s="80" t="str">
        <f t="shared" si="37"/>
        <v>ok</v>
      </c>
      <c r="F51" s="78" t="str">
        <f aca="true" ca="1" t="shared" si="59" ref="F51:F57">MID(VLOOKUP($F$2,INDIRECT(A51),3,FALSE),1,3)</f>
        <v>CAD</v>
      </c>
      <c r="G51" s="78" t="str">
        <f t="shared" si="38"/>
        <v>/</v>
      </c>
      <c r="H51" s="80" t="str">
        <f t="shared" si="39"/>
        <v>TBD from created superior equipment</v>
      </c>
      <c r="I51" s="80" t="s">
        <v>879</v>
      </c>
      <c r="J51" s="80" t="str">
        <f ca="1">CONCATENATE(MID(VLOOKUP($J$2,INDIRECT(A51),3,FALSE),6,99)," ",VLOOKUP($J$3,INDIRECT(A51),3,FALSE))</f>
        <v>Cylinder Comp Cylinder Comp (Stage1)</v>
      </c>
      <c r="K51" s="78" t="str">
        <f t="shared" si="40"/>
        <v>CAD</v>
      </c>
      <c r="L51" s="78" t="str">
        <f t="shared" si="41"/>
        <v>/</v>
      </c>
      <c r="M51" s="80" t="str">
        <f t="shared" si="42"/>
        <v>TBD from created superior equipment</v>
      </c>
      <c r="N51" s="80" t="str">
        <f ca="1">VLOOKUP($N$2,INDIRECT(A51),3,FALSE)</f>
        <v>/</v>
      </c>
      <c r="O51" s="80" t="s">
        <v>879</v>
      </c>
      <c r="P51" s="80" t="s">
        <v>879</v>
      </c>
      <c r="Q51" s="80" t="s">
        <v>879</v>
      </c>
      <c r="R51" s="80" t="s">
        <v>879</v>
      </c>
      <c r="S51" s="80" t="s">
        <v>879</v>
      </c>
      <c r="T51" s="80" t="str">
        <f ca="1">MID(VLOOKUP($T$2,INDIRECT(A51),3,FALSE),1,4)</f>
        <v>6803</v>
      </c>
      <c r="U51" s="80" t="s">
        <v>879</v>
      </c>
      <c r="V51" s="80" t="s">
        <v>879</v>
      </c>
      <c r="W51" s="80" t="s">
        <v>879</v>
      </c>
      <c r="X51" s="80" t="str">
        <f ca="1">VLOOKUP($X$2,INDIRECT(A51),3,FALSE)</f>
        <v>Ariel Corporation</v>
      </c>
      <c r="Y51" s="80" t="str">
        <f ca="1">VLOOKUP($Y$2,INDIRECT(A51),3,FALSE)</f>
        <v>/</v>
      </c>
      <c r="Z51" s="80" t="str">
        <f ca="1">VLOOKUP($Z$2,INDIRECT($A51),3,FALSE)</f>
        <v>/</v>
      </c>
      <c r="AA51" s="80" t="str">
        <f ca="1">VLOOKUP($AA$2,INDIRECT($A51),3,FALSE)</f>
        <v>C16352</v>
      </c>
      <c r="AB51" s="80" t="s">
        <v>879</v>
      </c>
      <c r="AC51" s="80" t="str">
        <f ca="1">VLOOKUP($AC$2,INDIRECT($A51),3,FALSE)</f>
        <v>/</v>
      </c>
      <c r="AD51" s="80" t="s">
        <v>879</v>
      </c>
      <c r="AE51" s="80" t="s">
        <v>879</v>
      </c>
      <c r="AF51" s="80" t="s">
        <v>879</v>
      </c>
      <c r="AG51" s="80" t="s">
        <v>879</v>
      </c>
      <c r="AH51" s="80" t="s">
        <v>879</v>
      </c>
      <c r="AI51" s="80" t="s">
        <v>879</v>
      </c>
      <c r="AJ51" s="78" t="str">
        <f t="shared" si="43"/>
        <v>CAD_MEC1</v>
      </c>
      <c r="AK51" s="78">
        <f t="shared" si="44"/>
        <v>6803</v>
      </c>
    </row>
    <row r="52" spans="1:37" ht="12.75">
      <c r="A52" s="82" t="s">
        <v>1240</v>
      </c>
      <c r="B52" s="78" t="str">
        <f t="shared" si="36"/>
        <v>Cylinder Comp</v>
      </c>
      <c r="C52" s="78">
        <v>3</v>
      </c>
      <c r="D52" s="79"/>
      <c r="E52" s="80" t="str">
        <f t="shared" si="37"/>
        <v>ok</v>
      </c>
      <c r="F52" s="78" t="str">
        <f ca="1" t="shared" si="59"/>
        <v>CAD</v>
      </c>
      <c r="G52" s="78" t="str">
        <f t="shared" si="38"/>
        <v>/</v>
      </c>
      <c r="H52" s="80" t="str">
        <f t="shared" si="39"/>
        <v>TBD from created superior equipment</v>
      </c>
      <c r="I52" s="80" t="s">
        <v>879</v>
      </c>
      <c r="J52" s="80" t="str">
        <f ca="1">CONCATENATE(MID(VLOOKUP($J$2,INDIRECT(A52),4,FALSE),6,99)," ",VLOOKUP($J$3,INDIRECT(A52),4,FALSE))</f>
        <v>Cylinder Comp </v>
      </c>
      <c r="K52" s="78" t="str">
        <f t="shared" si="40"/>
        <v>CAD</v>
      </c>
      <c r="L52" s="78" t="str">
        <f t="shared" si="41"/>
        <v>/</v>
      </c>
      <c r="M52" s="80" t="str">
        <f t="shared" si="42"/>
        <v>TBD from created superior equipment</v>
      </c>
      <c r="N52" s="80" t="str">
        <f ca="1">VLOOKUP($N$2,INDIRECT(A52),4,FALSE)</f>
        <v>/</v>
      </c>
      <c r="O52" s="80" t="s">
        <v>879</v>
      </c>
      <c r="P52" s="80" t="s">
        <v>879</v>
      </c>
      <c r="Q52" s="80" t="s">
        <v>879</v>
      </c>
      <c r="R52" s="80" t="s">
        <v>879</v>
      </c>
      <c r="S52" s="80" t="s">
        <v>879</v>
      </c>
      <c r="T52" s="80" t="str">
        <f ca="1">MID(VLOOKUP($T$2,INDIRECT(A52),4,FALSE),1,4)</f>
        <v>6803</v>
      </c>
      <c r="U52" s="80" t="s">
        <v>879</v>
      </c>
      <c r="V52" s="80" t="s">
        <v>879</v>
      </c>
      <c r="W52" s="80" t="s">
        <v>879</v>
      </c>
      <c r="X52" s="80" t="str">
        <f ca="1">VLOOKUP($X$2,INDIRECT(A52),4,FALSE)</f>
        <v>/</v>
      </c>
      <c r="Y52" s="80" t="str">
        <f ca="1">VLOOKUP($Y$2,INDIRECT(A52),4,FALSE)</f>
        <v>/</v>
      </c>
      <c r="Z52" s="80" t="str">
        <f ca="1">VLOOKUP($Z$2,INDIRECT($A52),4,FALSE)</f>
        <v>/</v>
      </c>
      <c r="AA52" s="80" t="str">
        <f ca="1">VLOOKUP($AA$2,INDIRECT($A52),4,FALSE)</f>
        <v>/</v>
      </c>
      <c r="AB52" s="80" t="s">
        <v>879</v>
      </c>
      <c r="AC52" s="80" t="str">
        <f ca="1">VLOOKUP($AC$2,INDIRECT($A52),4,FALSE)</f>
        <v>/</v>
      </c>
      <c r="AD52" s="80" t="s">
        <v>879</v>
      </c>
      <c r="AE52" s="80" t="s">
        <v>879</v>
      </c>
      <c r="AF52" s="80" t="s">
        <v>879</v>
      </c>
      <c r="AG52" s="80" t="s">
        <v>879</v>
      </c>
      <c r="AH52" s="80" t="s">
        <v>879</v>
      </c>
      <c r="AI52" s="80" t="s">
        <v>879</v>
      </c>
      <c r="AJ52" s="78" t="str">
        <f t="shared" si="43"/>
        <v>CAD_MEC1</v>
      </c>
      <c r="AK52" s="78">
        <f t="shared" si="44"/>
        <v>6803</v>
      </c>
    </row>
    <row r="53" spans="1:37" ht="12.75">
      <c r="A53" s="82" t="s">
        <v>1240</v>
      </c>
      <c r="B53" s="78" t="str">
        <f t="shared" si="36"/>
        <v>Cylinder Comp</v>
      </c>
      <c r="C53" s="78">
        <v>3</v>
      </c>
      <c r="D53" s="79"/>
      <c r="E53" s="80" t="str">
        <f t="shared" si="37"/>
        <v>ok</v>
      </c>
      <c r="F53" s="78" t="str">
        <f ca="1" t="shared" si="59"/>
        <v>CAD</v>
      </c>
      <c r="G53" s="78" t="str">
        <f t="shared" si="38"/>
        <v>/</v>
      </c>
      <c r="H53" s="80" t="str">
        <f t="shared" si="39"/>
        <v>TBD from created superior equipment</v>
      </c>
      <c r="I53" s="80" t="s">
        <v>879</v>
      </c>
      <c r="J53" s="80" t="str">
        <f ca="1">CONCATENATE(MID(VLOOKUP($J$2,INDIRECT(A53),3,FALSE),6,99)," ",VLOOKUP($J$3,INDIRECT(A53),3,FALSE))</f>
        <v>Cylinder Comp Cylinder Comp (Stage1)</v>
      </c>
      <c r="K53" s="78" t="str">
        <f t="shared" si="40"/>
        <v>CAD</v>
      </c>
      <c r="L53" s="78" t="str">
        <f t="shared" si="41"/>
        <v>/</v>
      </c>
      <c r="M53" s="80" t="str">
        <f t="shared" si="42"/>
        <v>TBD from created superior equipment</v>
      </c>
      <c r="N53" s="80" t="str">
        <f ca="1">VLOOKUP($N$2,INDIRECT(A53),5,FALSE)</f>
        <v>/</v>
      </c>
      <c r="O53" s="80" t="s">
        <v>879</v>
      </c>
      <c r="P53" s="80" t="s">
        <v>879</v>
      </c>
      <c r="Q53" s="80" t="s">
        <v>879</v>
      </c>
      <c r="R53" s="80" t="s">
        <v>879</v>
      </c>
      <c r="S53" s="80" t="s">
        <v>879</v>
      </c>
      <c r="T53" s="80" t="str">
        <f ca="1">MID(VLOOKUP($T$2,INDIRECT(A53),5,FALSE),1,4)</f>
        <v>6803</v>
      </c>
      <c r="U53" s="80" t="s">
        <v>879</v>
      </c>
      <c r="V53" s="80" t="s">
        <v>879</v>
      </c>
      <c r="W53" s="80" t="s">
        <v>879</v>
      </c>
      <c r="X53" s="80" t="str">
        <f ca="1">VLOOKUP($X$2,INDIRECT(A53),5,FALSE)</f>
        <v>/</v>
      </c>
      <c r="Y53" s="80" t="str">
        <f ca="1">VLOOKUP($Y$2,INDIRECT(A53),5,FALSE)</f>
        <v>/</v>
      </c>
      <c r="Z53" s="80" t="str">
        <f ca="1">VLOOKUP($Z$2,INDIRECT($A53),5,FALSE)</f>
        <v>/</v>
      </c>
      <c r="AA53" s="80" t="str">
        <f ca="1">VLOOKUP($AA$2,INDIRECT($A53),5,FALSE)</f>
        <v>/</v>
      </c>
      <c r="AB53" s="80" t="s">
        <v>879</v>
      </c>
      <c r="AC53" s="80" t="str">
        <f ca="1">VLOOKUP($AC$2,INDIRECT($A53),5,FALSE)</f>
        <v>/</v>
      </c>
      <c r="AD53" s="80" t="s">
        <v>879</v>
      </c>
      <c r="AE53" s="80" t="s">
        <v>879</v>
      </c>
      <c r="AF53" s="80" t="s">
        <v>879</v>
      </c>
      <c r="AG53" s="80" t="s">
        <v>879</v>
      </c>
      <c r="AH53" s="80" t="s">
        <v>879</v>
      </c>
      <c r="AI53" s="80" t="s">
        <v>879</v>
      </c>
      <c r="AJ53" s="78" t="str">
        <f t="shared" si="43"/>
        <v>CAD_MEC1</v>
      </c>
      <c r="AK53" s="78">
        <f t="shared" si="44"/>
        <v>6803</v>
      </c>
    </row>
    <row r="54" spans="1:37" ht="12.75">
      <c r="A54" s="82" t="s">
        <v>1240</v>
      </c>
      <c r="B54" s="78" t="str">
        <f t="shared" si="36"/>
        <v>Cylinder Comp</v>
      </c>
      <c r="C54" s="78">
        <v>3</v>
      </c>
      <c r="D54" s="79"/>
      <c r="E54" s="80" t="str">
        <f t="shared" si="37"/>
        <v>ok</v>
      </c>
      <c r="F54" s="78" t="str">
        <f ca="1" t="shared" si="59"/>
        <v>CAD</v>
      </c>
      <c r="G54" s="78" t="str">
        <f t="shared" si="38"/>
        <v>/</v>
      </c>
      <c r="H54" s="80" t="str">
        <f t="shared" si="39"/>
        <v>TBD from created superior equipment</v>
      </c>
      <c r="I54" s="80" t="s">
        <v>879</v>
      </c>
      <c r="J54" s="80" t="str">
        <f ca="1">CONCATENATE(MID(VLOOKUP($J$2,INDIRECT(A54),3,FALSE),6,99)," ",VLOOKUP($J$3,INDIRECT(A54),3,FALSE))</f>
        <v>Cylinder Comp Cylinder Comp (Stage1)</v>
      </c>
      <c r="K54" s="78" t="str">
        <f t="shared" si="40"/>
        <v>CAD</v>
      </c>
      <c r="L54" s="78" t="str">
        <f t="shared" si="41"/>
        <v>/</v>
      </c>
      <c r="M54" s="80" t="str">
        <f t="shared" si="42"/>
        <v>TBD from created superior equipment</v>
      </c>
      <c r="N54" s="80" t="str">
        <f ca="1">VLOOKUP($N$2,INDIRECT(A54),6,FALSE)</f>
        <v>/</v>
      </c>
      <c r="O54" s="80" t="s">
        <v>879</v>
      </c>
      <c r="P54" s="80" t="s">
        <v>879</v>
      </c>
      <c r="Q54" s="80" t="s">
        <v>879</v>
      </c>
      <c r="R54" s="80" t="s">
        <v>879</v>
      </c>
      <c r="S54" s="80" t="s">
        <v>879</v>
      </c>
      <c r="T54" s="80" t="str">
        <f ca="1">MID(VLOOKUP($T$2,INDIRECT(A54),6,FALSE),1,4)</f>
        <v>6803</v>
      </c>
      <c r="U54" s="80" t="s">
        <v>879</v>
      </c>
      <c r="V54" s="80" t="s">
        <v>879</v>
      </c>
      <c r="W54" s="80" t="s">
        <v>879</v>
      </c>
      <c r="X54" s="80" t="str">
        <f ca="1">VLOOKUP($X$2,INDIRECT(A54),6,FALSE)</f>
        <v>/</v>
      </c>
      <c r="Y54" s="80" t="str">
        <f ca="1">VLOOKUP($Y$2,INDIRECT(A54),6,FALSE)</f>
        <v>/</v>
      </c>
      <c r="Z54" s="80" t="str">
        <f ca="1">VLOOKUP($Z$2,INDIRECT($A54),6,FALSE)</f>
        <v>/</v>
      </c>
      <c r="AA54" s="80" t="str">
        <f ca="1">VLOOKUP($AA$2,INDIRECT($A54),6,FALSE)</f>
        <v>/</v>
      </c>
      <c r="AB54" s="80" t="s">
        <v>879</v>
      </c>
      <c r="AC54" s="80" t="str">
        <f ca="1">VLOOKUP($AC$2,INDIRECT($A54),6,FALSE)</f>
        <v>/</v>
      </c>
      <c r="AD54" s="80" t="s">
        <v>879</v>
      </c>
      <c r="AE54" s="80" t="s">
        <v>879</v>
      </c>
      <c r="AF54" s="80" t="s">
        <v>879</v>
      </c>
      <c r="AG54" s="80" t="s">
        <v>879</v>
      </c>
      <c r="AH54" s="80" t="s">
        <v>879</v>
      </c>
      <c r="AI54" s="80" t="s">
        <v>879</v>
      </c>
      <c r="AJ54" s="78" t="str">
        <f t="shared" si="43"/>
        <v>CAD_MEC1</v>
      </c>
      <c r="AK54" s="78">
        <f t="shared" si="44"/>
        <v>6803</v>
      </c>
    </row>
    <row r="55" spans="1:37" ht="12.75">
      <c r="A55" s="82" t="s">
        <v>1240</v>
      </c>
      <c r="B55" s="78" t="str">
        <f t="shared" si="36"/>
        <v>Cylinder Comp</v>
      </c>
      <c r="C55" s="78">
        <v>3</v>
      </c>
      <c r="D55" s="79"/>
      <c r="E55" s="80" t="str">
        <f t="shared" si="37"/>
        <v>ok</v>
      </c>
      <c r="F55" s="78" t="str">
        <f ca="1" t="shared" si="59"/>
        <v>CAD</v>
      </c>
      <c r="G55" s="78" t="str">
        <f t="shared" si="38"/>
        <v>/</v>
      </c>
      <c r="H55" s="80" t="str">
        <f t="shared" si="39"/>
        <v>TBD from created superior equipment</v>
      </c>
      <c r="I55" s="80" t="s">
        <v>879</v>
      </c>
      <c r="J55" s="80" t="str">
        <f ca="1">CONCATENATE(MID(VLOOKUP($J$2,INDIRECT(A55),3,FALSE),6,99)," ",VLOOKUP($J$3,INDIRECT(A55),3,FALSE))</f>
        <v>Cylinder Comp Cylinder Comp (Stage1)</v>
      </c>
      <c r="K55" s="78" t="str">
        <f t="shared" si="40"/>
        <v>CAD</v>
      </c>
      <c r="L55" s="78" t="str">
        <f t="shared" si="41"/>
        <v>/</v>
      </c>
      <c r="M55" s="80" t="str">
        <f t="shared" si="42"/>
        <v>TBD from created superior equipment</v>
      </c>
      <c r="N55" s="80" t="str">
        <f ca="1">VLOOKUP($N$2,INDIRECT(A55),7,FALSE)</f>
        <v>/</v>
      </c>
      <c r="O55" s="80" t="s">
        <v>879</v>
      </c>
      <c r="P55" s="80" t="s">
        <v>879</v>
      </c>
      <c r="Q55" s="80" t="s">
        <v>879</v>
      </c>
      <c r="R55" s="80" t="s">
        <v>879</v>
      </c>
      <c r="S55" s="80" t="s">
        <v>879</v>
      </c>
      <c r="T55" s="80" t="str">
        <f ca="1">MID(VLOOKUP($T$2,INDIRECT(A55),7,FALSE),1,4)</f>
        <v>6803</v>
      </c>
      <c r="U55" s="80" t="s">
        <v>879</v>
      </c>
      <c r="V55" s="80" t="s">
        <v>879</v>
      </c>
      <c r="W55" s="80" t="s">
        <v>879</v>
      </c>
      <c r="X55" s="80" t="str">
        <f ca="1">VLOOKUP($X$2,INDIRECT(A55),7,FALSE)</f>
        <v>/</v>
      </c>
      <c r="Y55" s="80" t="str">
        <f ca="1">VLOOKUP($Y$2,INDIRECT(A55),7,FALSE)</f>
        <v>/</v>
      </c>
      <c r="Z55" s="80" t="str">
        <f ca="1">VLOOKUP($Z$2,INDIRECT($A55),7,FALSE)</f>
        <v>/</v>
      </c>
      <c r="AA55" s="80" t="str">
        <f ca="1">VLOOKUP($AA$2,INDIRECT($A55),7,FALSE)</f>
        <v>/</v>
      </c>
      <c r="AB55" s="80" t="s">
        <v>879</v>
      </c>
      <c r="AC55" s="80" t="str">
        <f ca="1">VLOOKUP($AC$2,INDIRECT($A55),7,FALSE)</f>
        <v>/</v>
      </c>
      <c r="AD55" s="80" t="s">
        <v>879</v>
      </c>
      <c r="AE55" s="80" t="s">
        <v>879</v>
      </c>
      <c r="AF55" s="80" t="s">
        <v>879</v>
      </c>
      <c r="AG55" s="80" t="s">
        <v>879</v>
      </c>
      <c r="AH55" s="80" t="s">
        <v>879</v>
      </c>
      <c r="AI55" s="80" t="s">
        <v>879</v>
      </c>
      <c r="AJ55" s="78" t="str">
        <f t="shared" si="43"/>
        <v>CAD_MEC1</v>
      </c>
      <c r="AK55" s="78">
        <f t="shared" si="44"/>
        <v>6803</v>
      </c>
    </row>
    <row r="56" spans="1:37" ht="12.75">
      <c r="A56" s="82" t="s">
        <v>1240</v>
      </c>
      <c r="B56" s="78" t="str">
        <f t="shared" si="36"/>
        <v>Cylinder Comp</v>
      </c>
      <c r="C56" s="78">
        <v>3</v>
      </c>
      <c r="D56" s="79"/>
      <c r="E56" s="80" t="str">
        <f>IF(LEN(J56)&lt;40,"ok",LEN(J56))</f>
        <v>ok</v>
      </c>
      <c r="F56" s="78" t="str">
        <f ca="1" t="shared" si="59"/>
        <v>CAD</v>
      </c>
      <c r="G56" s="78" t="str">
        <f>IF(C56=1,"TBD","/")</f>
        <v>/</v>
      </c>
      <c r="H56" s="80" t="str">
        <f>IF(C56&lt;&gt;1,"TBD from created superior equipment","/")</f>
        <v>TBD from created superior equipment</v>
      </c>
      <c r="I56" s="80" t="s">
        <v>879</v>
      </c>
      <c r="J56" s="80" t="str">
        <f ca="1">CONCATENATE(MID(VLOOKUP($J$2,INDIRECT(A56),3,FALSE),6,99)," ",VLOOKUP($J$3,INDIRECT(A56),3,FALSE))</f>
        <v>Cylinder Comp Cylinder Comp (Stage1)</v>
      </c>
      <c r="K56" s="78" t="str">
        <f aca="true" t="shared" si="60" ref="K56:M57">+F56</f>
        <v>CAD</v>
      </c>
      <c r="L56" s="78" t="str">
        <f t="shared" si="60"/>
        <v>/</v>
      </c>
      <c r="M56" s="80" t="str">
        <f t="shared" si="60"/>
        <v>TBD from created superior equipment</v>
      </c>
      <c r="N56" s="80" t="str">
        <f ca="1">VLOOKUP($N$2,INDIRECT(A56),7,FALSE)</f>
        <v>/</v>
      </c>
      <c r="O56" s="80" t="s">
        <v>879</v>
      </c>
      <c r="P56" s="80" t="s">
        <v>879</v>
      </c>
      <c r="Q56" s="80" t="s">
        <v>879</v>
      </c>
      <c r="R56" s="80" t="s">
        <v>879</v>
      </c>
      <c r="S56" s="80" t="s">
        <v>879</v>
      </c>
      <c r="T56" s="80" t="str">
        <f ca="1">MID(VLOOKUP($T$2,INDIRECT(A56),7,FALSE),1,4)</f>
        <v>6803</v>
      </c>
      <c r="U56" s="80" t="s">
        <v>879</v>
      </c>
      <c r="V56" s="80" t="s">
        <v>879</v>
      </c>
      <c r="W56" s="80" t="s">
        <v>879</v>
      </c>
      <c r="X56" s="80" t="str">
        <f ca="1">VLOOKUP($X$2,INDIRECT(A56),7,FALSE)</f>
        <v>/</v>
      </c>
      <c r="Y56" s="80" t="str">
        <f ca="1">VLOOKUP($Y$2,INDIRECT(A56),7,FALSE)</f>
        <v>/</v>
      </c>
      <c r="Z56" s="80" t="str">
        <f ca="1">VLOOKUP($Z$2,INDIRECT($A56),7,FALSE)</f>
        <v>/</v>
      </c>
      <c r="AA56" s="80" t="str">
        <f ca="1">VLOOKUP($AA$2,INDIRECT($A56),7,FALSE)</f>
        <v>/</v>
      </c>
      <c r="AB56" s="80" t="s">
        <v>879</v>
      </c>
      <c r="AC56" s="80" t="str">
        <f ca="1">VLOOKUP($AC$2,INDIRECT($A56),7,FALSE)</f>
        <v>/</v>
      </c>
      <c r="AD56" s="80" t="s">
        <v>879</v>
      </c>
      <c r="AE56" s="80" t="s">
        <v>879</v>
      </c>
      <c r="AF56" s="80" t="s">
        <v>879</v>
      </c>
      <c r="AG56" s="80" t="s">
        <v>879</v>
      </c>
      <c r="AH56" s="80" t="s">
        <v>879</v>
      </c>
      <c r="AI56" s="80" t="s">
        <v>879</v>
      </c>
      <c r="AJ56" s="78" t="str">
        <f>CONCATENATE(MID(K56,1,3),"_",VLOOKUP(T56,XREF2,3,FALSE),1)</f>
        <v>CAD_MEC1</v>
      </c>
      <c r="AK56" s="78">
        <f>VLOOKUP(T56,XREF2,2,FALSE)</f>
        <v>6803</v>
      </c>
    </row>
    <row r="57" spans="1:37" ht="12.75">
      <c r="A57" s="82" t="s">
        <v>1240</v>
      </c>
      <c r="B57" s="78" t="str">
        <f t="shared" si="36"/>
        <v>Cylinder Comp</v>
      </c>
      <c r="C57" s="78">
        <v>3</v>
      </c>
      <c r="D57" s="79"/>
      <c r="E57" s="80" t="str">
        <f>IF(LEN(J57)&lt;40,"ok",LEN(J57))</f>
        <v>ok</v>
      </c>
      <c r="F57" s="78" t="str">
        <f ca="1" t="shared" si="59"/>
        <v>CAD</v>
      </c>
      <c r="G57" s="78" t="str">
        <f>IF(C57=1,"TBD","/")</f>
        <v>/</v>
      </c>
      <c r="H57" s="80" t="str">
        <f>IF(C57&lt;&gt;1,"TBD from created superior equipment","/")</f>
        <v>TBD from created superior equipment</v>
      </c>
      <c r="I57" s="80" t="s">
        <v>879</v>
      </c>
      <c r="J57" s="80" t="str">
        <f ca="1">CONCATENATE(MID(VLOOKUP($J$2,INDIRECT(A57),3,FALSE),6,99)," ",VLOOKUP($J$3,INDIRECT(A57),3,FALSE))</f>
        <v>Cylinder Comp Cylinder Comp (Stage1)</v>
      </c>
      <c r="K57" s="78" t="str">
        <f t="shared" si="60"/>
        <v>CAD</v>
      </c>
      <c r="L57" s="78" t="str">
        <f t="shared" si="60"/>
        <v>/</v>
      </c>
      <c r="M57" s="80" t="str">
        <f t="shared" si="60"/>
        <v>TBD from created superior equipment</v>
      </c>
      <c r="N57" s="80" t="str">
        <f ca="1">VLOOKUP($N$2,INDIRECT(A57),7,FALSE)</f>
        <v>/</v>
      </c>
      <c r="O57" s="80" t="s">
        <v>879</v>
      </c>
      <c r="P57" s="80" t="s">
        <v>879</v>
      </c>
      <c r="Q57" s="80" t="s">
        <v>879</v>
      </c>
      <c r="R57" s="80" t="s">
        <v>879</v>
      </c>
      <c r="S57" s="80" t="s">
        <v>879</v>
      </c>
      <c r="T57" s="80" t="str">
        <f ca="1">MID(VLOOKUP($T$2,INDIRECT(A57),7,FALSE),1,4)</f>
        <v>6803</v>
      </c>
      <c r="U57" s="80" t="s">
        <v>879</v>
      </c>
      <c r="V57" s="80" t="s">
        <v>879</v>
      </c>
      <c r="W57" s="80" t="s">
        <v>879</v>
      </c>
      <c r="X57" s="80" t="str">
        <f ca="1">VLOOKUP($X$2,INDIRECT(A57),7,FALSE)</f>
        <v>/</v>
      </c>
      <c r="Y57" s="80" t="str">
        <f ca="1">VLOOKUP($Y$2,INDIRECT(A57),7,FALSE)</f>
        <v>/</v>
      </c>
      <c r="Z57" s="80" t="str">
        <f ca="1">VLOOKUP($Z$2,INDIRECT($A57),7,FALSE)</f>
        <v>/</v>
      </c>
      <c r="AA57" s="80" t="str">
        <f ca="1">VLOOKUP($AA$2,INDIRECT($A57),7,FALSE)</f>
        <v>/</v>
      </c>
      <c r="AB57" s="80" t="s">
        <v>879</v>
      </c>
      <c r="AC57" s="80" t="str">
        <f ca="1">VLOOKUP($AC$2,INDIRECT($A57),7,FALSE)</f>
        <v>/</v>
      </c>
      <c r="AD57" s="80" t="s">
        <v>879</v>
      </c>
      <c r="AE57" s="80" t="s">
        <v>879</v>
      </c>
      <c r="AF57" s="80" t="s">
        <v>879</v>
      </c>
      <c r="AG57" s="80" t="s">
        <v>879</v>
      </c>
      <c r="AH57" s="80" t="s">
        <v>879</v>
      </c>
      <c r="AI57" s="80" t="s">
        <v>879</v>
      </c>
      <c r="AJ57" s="78" t="str">
        <f>CONCATENATE(MID(K57,1,3),"_",VLOOKUP(T57,XREF2,3,FALSE),1)</f>
        <v>CAD_MEC1</v>
      </c>
      <c r="AK57" s="78">
        <f>VLOOKUP(T57,XREF2,2,FALSE)</f>
        <v>6803</v>
      </c>
    </row>
    <row r="58" spans="1:37" ht="12.75">
      <c r="A58" s="81" t="s">
        <v>1277</v>
      </c>
      <c r="B58" s="32" t="str">
        <f t="shared" si="36"/>
        <v>Valve Motor Opr</v>
      </c>
      <c r="C58" s="32">
        <v>3</v>
      </c>
      <c r="D58" s="33"/>
      <c r="E58" s="32" t="str">
        <f t="shared" si="37"/>
        <v>ok</v>
      </c>
      <c r="F58" s="32" t="str">
        <f aca="true" ca="1" t="shared" si="61" ref="F58:F65">MID(VLOOKUP($F$2,INDIRECT(A58),2,FALSE),1,3)</f>
        <v>CAD</v>
      </c>
      <c r="G58" s="32" t="str">
        <f t="shared" si="38"/>
        <v>/</v>
      </c>
      <c r="H58" s="32" t="str">
        <f t="shared" si="39"/>
        <v>TBD from created superior equipment</v>
      </c>
      <c r="I58" s="35" t="s">
        <v>879</v>
      </c>
      <c r="J58" t="str">
        <f aca="true" ca="1" t="shared" si="62" ref="J58:J65">CONCATENATE(MID(VLOOKUP($J$2,INDIRECT(A58),2,FALSE),6,99)," ",VLOOKUP($J$3,INDIRECT(A58),2,FALSE))</f>
        <v>Valve Motor Opr </v>
      </c>
      <c r="K58" t="str">
        <f t="shared" si="40"/>
        <v>CAD</v>
      </c>
      <c r="L58" t="str">
        <f t="shared" si="41"/>
        <v>/</v>
      </c>
      <c r="M58" s="35" t="str">
        <f t="shared" si="42"/>
        <v>TBD from created superior equipment</v>
      </c>
      <c r="N58" s="35" t="str">
        <f aca="true" ca="1" t="shared" si="63" ref="N58:N65">VLOOKUP($N$2,INDIRECT(A58),2,FALSE)</f>
        <v>/</v>
      </c>
      <c r="O58" s="35" t="s">
        <v>879</v>
      </c>
      <c r="P58" s="35" t="s">
        <v>879</v>
      </c>
      <c r="Q58" s="35" t="s">
        <v>879</v>
      </c>
      <c r="R58" s="35" t="s">
        <v>879</v>
      </c>
      <c r="S58" s="35" t="s">
        <v>879</v>
      </c>
      <c r="T58" s="35" t="str">
        <f aca="true" ca="1" t="shared" si="64" ref="T58:T65">MID(VLOOKUP($T$2,INDIRECT(A58),2,FALSE),1,4)</f>
        <v>9104</v>
      </c>
      <c r="U58" s="35" t="s">
        <v>879</v>
      </c>
      <c r="V58" s="35" t="s">
        <v>879</v>
      </c>
      <c r="W58" s="35" t="s">
        <v>879</v>
      </c>
      <c r="X58" s="35" t="str">
        <f aca="true" ca="1" t="shared" si="65" ref="X58:X65">VLOOKUP($X$2,INDIRECT(A58),2,FALSE)</f>
        <v>/</v>
      </c>
      <c r="Y58" s="35" t="str">
        <f aca="true" ca="1" t="shared" si="66" ref="Y58:Y65">VLOOKUP($Y$2,INDIRECT(A58),2,FALSE)</f>
        <v>/</v>
      </c>
      <c r="Z58" s="35" t="str">
        <f aca="true" ca="1" t="shared" si="67" ref="Z58:Z65">VLOOKUP($Z$2,INDIRECT($A58),2,FALSE)</f>
        <v>/</v>
      </c>
      <c r="AA58" s="35" t="str">
        <f aca="true" ca="1" t="shared" si="68" ref="AA58:AA65">VLOOKUP($AA$2,INDIRECT($A58),2,FALSE)</f>
        <v>/</v>
      </c>
      <c r="AB58" s="35" t="s">
        <v>879</v>
      </c>
      <c r="AC58" s="35" t="str">
        <f aca="true" ca="1" t="shared" si="69" ref="AC58:AC65">VLOOKUP($AC$2,INDIRECT($A58),2,FALSE)</f>
        <v>/</v>
      </c>
      <c r="AD58" s="35" t="s">
        <v>879</v>
      </c>
      <c r="AE58" s="35" t="s">
        <v>879</v>
      </c>
      <c r="AF58" s="35" t="s">
        <v>879</v>
      </c>
      <c r="AG58" s="35" t="s">
        <v>879</v>
      </c>
      <c r="AH58" s="35" t="s">
        <v>879</v>
      </c>
      <c r="AI58" s="35" t="s">
        <v>879</v>
      </c>
      <c r="AJ58" t="str">
        <f t="shared" si="43"/>
        <v>CAD_INS1</v>
      </c>
      <c r="AK58">
        <f t="shared" si="44"/>
        <v>9104</v>
      </c>
    </row>
    <row r="59" spans="1:37" ht="12.75">
      <c r="A59" s="81" t="s">
        <v>1242</v>
      </c>
      <c r="B59" s="32" t="str">
        <f t="shared" si="36"/>
        <v>Scrubber</v>
      </c>
      <c r="C59" s="32">
        <v>3</v>
      </c>
      <c r="D59" s="33"/>
      <c r="E59" s="34" t="str">
        <f t="shared" si="37"/>
        <v>ok</v>
      </c>
      <c r="F59" s="32" t="str">
        <f ca="1" t="shared" si="61"/>
        <v>CAD</v>
      </c>
      <c r="G59" s="32" t="str">
        <f t="shared" si="38"/>
        <v>/</v>
      </c>
      <c r="H59" s="34" t="str">
        <f t="shared" si="39"/>
        <v>TBD from created superior equipment</v>
      </c>
      <c r="I59" s="35" t="s">
        <v>879</v>
      </c>
      <c r="J59" s="35" t="str">
        <f ca="1" t="shared" si="62"/>
        <v>Scrubber 1st Stage Scrubber</v>
      </c>
      <c r="K59" t="str">
        <f t="shared" si="40"/>
        <v>CAD</v>
      </c>
      <c r="L59" t="str">
        <f t="shared" si="41"/>
        <v>/</v>
      </c>
      <c r="M59" s="35" t="str">
        <f t="shared" si="42"/>
        <v>TBD from created superior equipment</v>
      </c>
      <c r="N59" s="35" t="str">
        <f ca="1" t="shared" si="63"/>
        <v>/</v>
      </c>
      <c r="O59" s="35" t="s">
        <v>879</v>
      </c>
      <c r="P59" s="35" t="s">
        <v>879</v>
      </c>
      <c r="Q59" s="35" t="s">
        <v>879</v>
      </c>
      <c r="R59" s="35" t="s">
        <v>879</v>
      </c>
      <c r="S59" s="35" t="s">
        <v>879</v>
      </c>
      <c r="T59" s="35" t="str">
        <f ca="1" t="shared" si="64"/>
        <v>9504</v>
      </c>
      <c r="U59" s="35" t="s">
        <v>879</v>
      </c>
      <c r="V59" s="35" t="s">
        <v>879</v>
      </c>
      <c r="W59" s="35" t="s">
        <v>879</v>
      </c>
      <c r="X59" s="35" t="str">
        <f ca="1" t="shared" si="65"/>
        <v>Enerflex Systems</v>
      </c>
      <c r="Y59" s="35" t="str">
        <f ca="1" t="shared" si="66"/>
        <v>/</v>
      </c>
      <c r="Z59" s="35" t="str">
        <f ca="1" t="shared" si="67"/>
        <v>A2542760</v>
      </c>
      <c r="AA59" s="35">
        <f ca="1" t="shared" si="68"/>
        <v>8878.01</v>
      </c>
      <c r="AB59" s="35" t="s">
        <v>879</v>
      </c>
      <c r="AC59" s="35" t="str">
        <f ca="1" t="shared" si="69"/>
        <v>/</v>
      </c>
      <c r="AD59" s="35" t="s">
        <v>879</v>
      </c>
      <c r="AE59" s="35" t="s">
        <v>879</v>
      </c>
      <c r="AF59" s="35" t="s">
        <v>879</v>
      </c>
      <c r="AG59" s="35" t="s">
        <v>879</v>
      </c>
      <c r="AH59" s="35" t="s">
        <v>879</v>
      </c>
      <c r="AI59" s="35" t="s">
        <v>879</v>
      </c>
      <c r="AJ59" t="str">
        <f t="shared" si="43"/>
        <v>CAD_INP1</v>
      </c>
      <c r="AK59">
        <f t="shared" si="44"/>
        <v>9504</v>
      </c>
    </row>
    <row r="60" spans="1:37" ht="12.75">
      <c r="A60" s="82" t="s">
        <v>1242</v>
      </c>
      <c r="B60" s="78" t="str">
        <f t="shared" si="36"/>
        <v>Scrubber</v>
      </c>
      <c r="C60" s="78">
        <v>3</v>
      </c>
      <c r="D60" s="79"/>
      <c r="E60" s="80" t="str">
        <f>IF(LEN(J60)&lt;40,"ok",LEN(J60))</f>
        <v>ok</v>
      </c>
      <c r="F60" s="78" t="str">
        <f ca="1" t="shared" si="61"/>
        <v>CAD</v>
      </c>
      <c r="G60" s="78" t="str">
        <f>IF(C60=1,"TBD","/")</f>
        <v>/</v>
      </c>
      <c r="H60" s="80" t="str">
        <f>IF(C60&lt;&gt;1,"TBD from created superior equipment","/")</f>
        <v>TBD from created superior equipment</v>
      </c>
      <c r="I60" s="80" t="s">
        <v>879</v>
      </c>
      <c r="J60" s="80" t="str">
        <f ca="1" t="shared" si="62"/>
        <v>Scrubber 1st Stage Scrubber</v>
      </c>
      <c r="K60" s="78" t="str">
        <f aca="true" t="shared" si="70" ref="K60:M64">+F60</f>
        <v>CAD</v>
      </c>
      <c r="L60" s="78" t="str">
        <f t="shared" si="70"/>
        <v>/</v>
      </c>
      <c r="M60" s="80" t="str">
        <f t="shared" si="70"/>
        <v>TBD from created superior equipment</v>
      </c>
      <c r="N60" s="80" t="str">
        <f ca="1" t="shared" si="63"/>
        <v>/</v>
      </c>
      <c r="O60" s="80" t="s">
        <v>879</v>
      </c>
      <c r="P60" s="80" t="s">
        <v>879</v>
      </c>
      <c r="Q60" s="80" t="s">
        <v>879</v>
      </c>
      <c r="R60" s="80" t="s">
        <v>879</v>
      </c>
      <c r="S60" s="80" t="s">
        <v>879</v>
      </c>
      <c r="T60" s="80" t="str">
        <f ca="1" t="shared" si="64"/>
        <v>9504</v>
      </c>
      <c r="U60" s="80" t="s">
        <v>879</v>
      </c>
      <c r="V60" s="80" t="s">
        <v>879</v>
      </c>
      <c r="W60" s="80" t="s">
        <v>879</v>
      </c>
      <c r="X60" s="80" t="str">
        <f ca="1" t="shared" si="65"/>
        <v>Enerflex Systems</v>
      </c>
      <c r="Y60" s="80" t="str">
        <f ca="1" t="shared" si="66"/>
        <v>/</v>
      </c>
      <c r="Z60" s="80" t="str">
        <f ca="1" t="shared" si="67"/>
        <v>A2542760</v>
      </c>
      <c r="AA60" s="80">
        <f ca="1" t="shared" si="68"/>
        <v>8878.01</v>
      </c>
      <c r="AB60" s="80" t="s">
        <v>879</v>
      </c>
      <c r="AC60" s="80" t="str">
        <f ca="1" t="shared" si="69"/>
        <v>/</v>
      </c>
      <c r="AD60" s="80" t="s">
        <v>879</v>
      </c>
      <c r="AE60" s="80" t="s">
        <v>879</v>
      </c>
      <c r="AF60" s="80" t="s">
        <v>879</v>
      </c>
      <c r="AG60" s="80" t="s">
        <v>879</v>
      </c>
      <c r="AH60" s="80" t="s">
        <v>879</v>
      </c>
      <c r="AI60" s="80" t="s">
        <v>879</v>
      </c>
      <c r="AJ60" s="78" t="str">
        <f>CONCATENATE(MID(K60,1,3),"_",VLOOKUP(T60,XREF2,3,FALSE),1)</f>
        <v>CAD_INP1</v>
      </c>
      <c r="AK60" s="78">
        <f>VLOOKUP(T60,XREF2,2,FALSE)</f>
        <v>9504</v>
      </c>
    </row>
    <row r="61" spans="1:37" ht="12.75">
      <c r="A61" s="82" t="s">
        <v>1242</v>
      </c>
      <c r="B61" s="78" t="str">
        <f t="shared" si="36"/>
        <v>Scrubber</v>
      </c>
      <c r="C61" s="78">
        <v>3</v>
      </c>
      <c r="D61" s="79"/>
      <c r="E61" s="80" t="str">
        <f>IF(LEN(J61)&lt;40,"ok",LEN(J61))</f>
        <v>ok</v>
      </c>
      <c r="F61" s="78" t="str">
        <f ca="1" t="shared" si="61"/>
        <v>CAD</v>
      </c>
      <c r="G61" s="78" t="str">
        <f>IF(C61=1,"TBD","/")</f>
        <v>/</v>
      </c>
      <c r="H61" s="80" t="str">
        <f>IF(C61&lt;&gt;1,"TBD from created superior equipment","/")</f>
        <v>TBD from created superior equipment</v>
      </c>
      <c r="I61" s="80" t="s">
        <v>879</v>
      </c>
      <c r="J61" s="80" t="str">
        <f ca="1" t="shared" si="62"/>
        <v>Scrubber 1st Stage Scrubber</v>
      </c>
      <c r="K61" s="78" t="str">
        <f t="shared" si="70"/>
        <v>CAD</v>
      </c>
      <c r="L61" s="78" t="str">
        <f t="shared" si="70"/>
        <v>/</v>
      </c>
      <c r="M61" s="80" t="str">
        <f t="shared" si="70"/>
        <v>TBD from created superior equipment</v>
      </c>
      <c r="N61" s="80" t="str">
        <f ca="1" t="shared" si="63"/>
        <v>/</v>
      </c>
      <c r="O61" s="80" t="s">
        <v>879</v>
      </c>
      <c r="P61" s="80" t="s">
        <v>879</v>
      </c>
      <c r="Q61" s="80" t="s">
        <v>879</v>
      </c>
      <c r="R61" s="80" t="s">
        <v>879</v>
      </c>
      <c r="S61" s="80" t="s">
        <v>879</v>
      </c>
      <c r="T61" s="80" t="str">
        <f ca="1" t="shared" si="64"/>
        <v>9504</v>
      </c>
      <c r="U61" s="80" t="s">
        <v>879</v>
      </c>
      <c r="V61" s="80" t="s">
        <v>879</v>
      </c>
      <c r="W61" s="80" t="s">
        <v>879</v>
      </c>
      <c r="X61" s="80" t="str">
        <f ca="1" t="shared" si="65"/>
        <v>Enerflex Systems</v>
      </c>
      <c r="Y61" s="80" t="str">
        <f ca="1" t="shared" si="66"/>
        <v>/</v>
      </c>
      <c r="Z61" s="80" t="str">
        <f ca="1" t="shared" si="67"/>
        <v>A2542760</v>
      </c>
      <c r="AA61" s="80">
        <f ca="1" t="shared" si="68"/>
        <v>8878.01</v>
      </c>
      <c r="AB61" s="80" t="s">
        <v>879</v>
      </c>
      <c r="AC61" s="80" t="str">
        <f ca="1" t="shared" si="69"/>
        <v>/</v>
      </c>
      <c r="AD61" s="80" t="s">
        <v>879</v>
      </c>
      <c r="AE61" s="80" t="s">
        <v>879</v>
      </c>
      <c r="AF61" s="80" t="s">
        <v>879</v>
      </c>
      <c r="AG61" s="80" t="s">
        <v>879</v>
      </c>
      <c r="AH61" s="80" t="s">
        <v>879</v>
      </c>
      <c r="AI61" s="80" t="s">
        <v>879</v>
      </c>
      <c r="AJ61" s="78" t="str">
        <f>CONCATENATE(MID(K61,1,3),"_",VLOOKUP(T61,XREF2,3,FALSE),1)</f>
        <v>CAD_INP1</v>
      </c>
      <c r="AK61" s="78">
        <f>VLOOKUP(T61,XREF2,2,FALSE)</f>
        <v>9504</v>
      </c>
    </row>
    <row r="62" spans="1:37" ht="12.75">
      <c r="A62" s="82" t="s">
        <v>1242</v>
      </c>
      <c r="B62" s="78" t="str">
        <f t="shared" si="36"/>
        <v>Scrubber</v>
      </c>
      <c r="C62" s="78">
        <v>3</v>
      </c>
      <c r="D62" s="79"/>
      <c r="E62" s="80" t="str">
        <f>IF(LEN(J62)&lt;40,"ok",LEN(J62))</f>
        <v>ok</v>
      </c>
      <c r="F62" s="78" t="str">
        <f ca="1" t="shared" si="61"/>
        <v>CAD</v>
      </c>
      <c r="G62" s="78" t="str">
        <f>IF(C62=1,"TBD","/")</f>
        <v>/</v>
      </c>
      <c r="H62" s="80" t="str">
        <f>IF(C62&lt;&gt;1,"TBD from created superior equipment","/")</f>
        <v>TBD from created superior equipment</v>
      </c>
      <c r="I62" s="80" t="s">
        <v>879</v>
      </c>
      <c r="J62" s="80" t="str">
        <f ca="1" t="shared" si="62"/>
        <v>Scrubber 1st Stage Scrubber</v>
      </c>
      <c r="K62" s="78" t="str">
        <f t="shared" si="70"/>
        <v>CAD</v>
      </c>
      <c r="L62" s="78" t="str">
        <f t="shared" si="70"/>
        <v>/</v>
      </c>
      <c r="M62" s="80" t="str">
        <f t="shared" si="70"/>
        <v>TBD from created superior equipment</v>
      </c>
      <c r="N62" s="80" t="str">
        <f ca="1" t="shared" si="63"/>
        <v>/</v>
      </c>
      <c r="O62" s="80" t="s">
        <v>879</v>
      </c>
      <c r="P62" s="80" t="s">
        <v>879</v>
      </c>
      <c r="Q62" s="80" t="s">
        <v>879</v>
      </c>
      <c r="R62" s="80" t="s">
        <v>879</v>
      </c>
      <c r="S62" s="80" t="s">
        <v>879</v>
      </c>
      <c r="T62" s="80" t="str">
        <f ca="1" t="shared" si="64"/>
        <v>9504</v>
      </c>
      <c r="U62" s="80" t="s">
        <v>879</v>
      </c>
      <c r="V62" s="80" t="s">
        <v>879</v>
      </c>
      <c r="W62" s="80" t="s">
        <v>879</v>
      </c>
      <c r="X62" s="80" t="str">
        <f ca="1" t="shared" si="65"/>
        <v>Enerflex Systems</v>
      </c>
      <c r="Y62" s="80" t="str">
        <f ca="1" t="shared" si="66"/>
        <v>/</v>
      </c>
      <c r="Z62" s="80" t="str">
        <f ca="1" t="shared" si="67"/>
        <v>A2542760</v>
      </c>
      <c r="AA62" s="80">
        <f ca="1" t="shared" si="68"/>
        <v>8878.01</v>
      </c>
      <c r="AB62" s="80" t="s">
        <v>879</v>
      </c>
      <c r="AC62" s="80" t="str">
        <f ca="1" t="shared" si="69"/>
        <v>/</v>
      </c>
      <c r="AD62" s="80" t="s">
        <v>879</v>
      </c>
      <c r="AE62" s="80" t="s">
        <v>879</v>
      </c>
      <c r="AF62" s="80" t="s">
        <v>879</v>
      </c>
      <c r="AG62" s="80" t="s">
        <v>879</v>
      </c>
      <c r="AH62" s="80" t="s">
        <v>879</v>
      </c>
      <c r="AI62" s="80" t="s">
        <v>879</v>
      </c>
      <c r="AJ62" s="78" t="str">
        <f>CONCATENATE(MID(K62,1,3),"_",VLOOKUP(T62,XREF2,3,FALSE),1)</f>
        <v>CAD_INP1</v>
      </c>
      <c r="AK62" s="78">
        <f>VLOOKUP(T62,XREF2,2,FALSE)</f>
        <v>9504</v>
      </c>
    </row>
    <row r="63" spans="1:37" ht="12.75">
      <c r="A63" s="82" t="s">
        <v>1242</v>
      </c>
      <c r="B63" s="78" t="str">
        <f t="shared" si="36"/>
        <v>Scrubber</v>
      </c>
      <c r="C63" s="78">
        <v>3</v>
      </c>
      <c r="D63" s="79"/>
      <c r="E63" s="80" t="str">
        <f>IF(LEN(J63)&lt;40,"ok",LEN(J63))</f>
        <v>ok</v>
      </c>
      <c r="F63" s="78" t="str">
        <f ca="1" t="shared" si="61"/>
        <v>CAD</v>
      </c>
      <c r="G63" s="78" t="str">
        <f>IF(C63=1,"TBD","/")</f>
        <v>/</v>
      </c>
      <c r="H63" s="80" t="str">
        <f>IF(C63&lt;&gt;1,"TBD from created superior equipment","/")</f>
        <v>TBD from created superior equipment</v>
      </c>
      <c r="I63" s="80" t="s">
        <v>879</v>
      </c>
      <c r="J63" s="80" t="str">
        <f ca="1" t="shared" si="62"/>
        <v>Scrubber 1st Stage Scrubber</v>
      </c>
      <c r="K63" s="78" t="str">
        <f t="shared" si="70"/>
        <v>CAD</v>
      </c>
      <c r="L63" s="78" t="str">
        <f t="shared" si="70"/>
        <v>/</v>
      </c>
      <c r="M63" s="80" t="str">
        <f t="shared" si="70"/>
        <v>TBD from created superior equipment</v>
      </c>
      <c r="N63" s="80" t="str">
        <f ca="1" t="shared" si="63"/>
        <v>/</v>
      </c>
      <c r="O63" s="80" t="s">
        <v>879</v>
      </c>
      <c r="P63" s="80" t="s">
        <v>879</v>
      </c>
      <c r="Q63" s="80" t="s">
        <v>879</v>
      </c>
      <c r="R63" s="80" t="s">
        <v>879</v>
      </c>
      <c r="S63" s="80" t="s">
        <v>879</v>
      </c>
      <c r="T63" s="80" t="str">
        <f ca="1" t="shared" si="64"/>
        <v>9504</v>
      </c>
      <c r="U63" s="80" t="s">
        <v>879</v>
      </c>
      <c r="V63" s="80" t="s">
        <v>879</v>
      </c>
      <c r="W63" s="80" t="s">
        <v>879</v>
      </c>
      <c r="X63" s="80" t="str">
        <f ca="1" t="shared" si="65"/>
        <v>Enerflex Systems</v>
      </c>
      <c r="Y63" s="80" t="str">
        <f ca="1" t="shared" si="66"/>
        <v>/</v>
      </c>
      <c r="Z63" s="80" t="str">
        <f ca="1" t="shared" si="67"/>
        <v>A2542760</v>
      </c>
      <c r="AA63" s="80">
        <f ca="1" t="shared" si="68"/>
        <v>8878.01</v>
      </c>
      <c r="AB63" s="80" t="s">
        <v>879</v>
      </c>
      <c r="AC63" s="80" t="str">
        <f ca="1" t="shared" si="69"/>
        <v>/</v>
      </c>
      <c r="AD63" s="80" t="s">
        <v>879</v>
      </c>
      <c r="AE63" s="80" t="s">
        <v>879</v>
      </c>
      <c r="AF63" s="80" t="s">
        <v>879</v>
      </c>
      <c r="AG63" s="80" t="s">
        <v>879</v>
      </c>
      <c r="AH63" s="80" t="s">
        <v>879</v>
      </c>
      <c r="AI63" s="80" t="s">
        <v>879</v>
      </c>
      <c r="AJ63" s="78" t="str">
        <f>CONCATENATE(MID(K63,1,3),"_",VLOOKUP(T63,XREF2,3,FALSE),1)</f>
        <v>CAD_INP1</v>
      </c>
      <c r="AK63" s="78">
        <f>VLOOKUP(T63,XREF2,2,FALSE)</f>
        <v>9504</v>
      </c>
    </row>
    <row r="64" spans="1:37" ht="12.75">
      <c r="A64" s="82" t="s">
        <v>1242</v>
      </c>
      <c r="B64" s="78" t="str">
        <f t="shared" si="36"/>
        <v>Scrubber</v>
      </c>
      <c r="C64" s="78">
        <v>3</v>
      </c>
      <c r="D64" s="79"/>
      <c r="E64" s="80" t="str">
        <f>IF(LEN(J64)&lt;40,"ok",LEN(J64))</f>
        <v>ok</v>
      </c>
      <c r="F64" s="78" t="str">
        <f ca="1" t="shared" si="61"/>
        <v>CAD</v>
      </c>
      <c r="G64" s="78" t="str">
        <f>IF(C64=1,"TBD","/")</f>
        <v>/</v>
      </c>
      <c r="H64" s="80" t="str">
        <f>IF(C64&lt;&gt;1,"TBD from created superior equipment","/")</f>
        <v>TBD from created superior equipment</v>
      </c>
      <c r="I64" s="80" t="s">
        <v>879</v>
      </c>
      <c r="J64" s="80" t="str">
        <f ca="1" t="shared" si="62"/>
        <v>Scrubber 1st Stage Scrubber</v>
      </c>
      <c r="K64" s="78" t="str">
        <f t="shared" si="70"/>
        <v>CAD</v>
      </c>
      <c r="L64" s="78" t="str">
        <f t="shared" si="70"/>
        <v>/</v>
      </c>
      <c r="M64" s="80" t="str">
        <f t="shared" si="70"/>
        <v>TBD from created superior equipment</v>
      </c>
      <c r="N64" s="80" t="str">
        <f ca="1" t="shared" si="63"/>
        <v>/</v>
      </c>
      <c r="O64" s="80" t="s">
        <v>879</v>
      </c>
      <c r="P64" s="80" t="s">
        <v>879</v>
      </c>
      <c r="Q64" s="80" t="s">
        <v>879</v>
      </c>
      <c r="R64" s="80" t="s">
        <v>879</v>
      </c>
      <c r="S64" s="80" t="s">
        <v>879</v>
      </c>
      <c r="T64" s="80" t="str">
        <f ca="1" t="shared" si="64"/>
        <v>9504</v>
      </c>
      <c r="U64" s="80" t="s">
        <v>879</v>
      </c>
      <c r="V64" s="80" t="s">
        <v>879</v>
      </c>
      <c r="W64" s="80" t="s">
        <v>879</v>
      </c>
      <c r="X64" s="80" t="str">
        <f ca="1" t="shared" si="65"/>
        <v>Enerflex Systems</v>
      </c>
      <c r="Y64" s="80" t="str">
        <f ca="1" t="shared" si="66"/>
        <v>/</v>
      </c>
      <c r="Z64" s="80" t="str">
        <f ca="1" t="shared" si="67"/>
        <v>A2542760</v>
      </c>
      <c r="AA64" s="80">
        <f ca="1" t="shared" si="68"/>
        <v>8878.01</v>
      </c>
      <c r="AB64" s="80" t="s">
        <v>879</v>
      </c>
      <c r="AC64" s="80" t="str">
        <f ca="1" t="shared" si="69"/>
        <v>/</v>
      </c>
      <c r="AD64" s="80" t="s">
        <v>879</v>
      </c>
      <c r="AE64" s="80" t="s">
        <v>879</v>
      </c>
      <c r="AF64" s="80" t="s">
        <v>879</v>
      </c>
      <c r="AG64" s="80" t="s">
        <v>879</v>
      </c>
      <c r="AH64" s="80" t="s">
        <v>879</v>
      </c>
      <c r="AI64" s="80" t="s">
        <v>879</v>
      </c>
      <c r="AJ64" s="78" t="str">
        <f>CONCATENATE(MID(K64,1,3),"_",VLOOKUP(T64,XREF2,3,FALSE),1)</f>
        <v>CAD_INP1</v>
      </c>
      <c r="AK64" s="78">
        <f>VLOOKUP(T64,XREF2,2,FALSE)</f>
        <v>9504</v>
      </c>
    </row>
    <row r="65" spans="1:37" ht="12.75">
      <c r="A65" s="81" t="s">
        <v>1246</v>
      </c>
      <c r="B65" s="32" t="str">
        <f t="shared" si="36"/>
        <v>Compr Bottle</v>
      </c>
      <c r="C65" s="32">
        <v>3</v>
      </c>
      <c r="D65" s="33"/>
      <c r="E65" s="34" t="str">
        <f t="shared" si="37"/>
        <v>ok</v>
      </c>
      <c r="F65" s="32" t="str">
        <f ca="1" t="shared" si="61"/>
        <v>CAD</v>
      </c>
      <c r="G65" s="32" t="str">
        <f t="shared" si="38"/>
        <v>/</v>
      </c>
      <c r="H65" s="34" t="str">
        <f t="shared" si="39"/>
        <v>TBD from created superior equipment</v>
      </c>
      <c r="I65" s="35" t="s">
        <v>879</v>
      </c>
      <c r="J65" s="35" t="str">
        <f ca="1" t="shared" si="62"/>
        <v>Compr Bottle </v>
      </c>
      <c r="K65" t="str">
        <f t="shared" si="40"/>
        <v>CAD</v>
      </c>
      <c r="L65" t="str">
        <f t="shared" si="41"/>
        <v>/</v>
      </c>
      <c r="M65" s="35" t="str">
        <f t="shared" si="42"/>
        <v>TBD from created superior equipment</v>
      </c>
      <c r="N65" s="35" t="str">
        <f ca="1" t="shared" si="63"/>
        <v>/</v>
      </c>
      <c r="O65" s="35" t="s">
        <v>879</v>
      </c>
      <c r="P65" s="35" t="s">
        <v>879</v>
      </c>
      <c r="Q65" s="35" t="s">
        <v>879</v>
      </c>
      <c r="R65" s="35" t="s">
        <v>879</v>
      </c>
      <c r="S65" s="35" t="s">
        <v>879</v>
      </c>
      <c r="T65" s="35" t="str">
        <f ca="1" t="shared" si="64"/>
        <v>9530</v>
      </c>
      <c r="U65" s="35" t="s">
        <v>879</v>
      </c>
      <c r="V65" s="35" t="s">
        <v>879</v>
      </c>
      <c r="W65" s="35" t="s">
        <v>879</v>
      </c>
      <c r="X65" s="35" t="str">
        <f ca="1" t="shared" si="65"/>
        <v>/</v>
      </c>
      <c r="Y65" s="35" t="str">
        <f ca="1" t="shared" si="66"/>
        <v>/</v>
      </c>
      <c r="Z65" s="35" t="str">
        <f ca="1" t="shared" si="67"/>
        <v>/</v>
      </c>
      <c r="AA65" s="35" t="str">
        <f ca="1" t="shared" si="68"/>
        <v>/</v>
      </c>
      <c r="AB65" s="35" t="s">
        <v>879</v>
      </c>
      <c r="AC65" s="35" t="str">
        <f ca="1" t="shared" si="69"/>
        <v>/</v>
      </c>
      <c r="AD65" s="35" t="s">
        <v>879</v>
      </c>
      <c r="AE65" s="35" t="s">
        <v>879</v>
      </c>
      <c r="AF65" s="35" t="s">
        <v>879</v>
      </c>
      <c r="AG65" s="35" t="s">
        <v>879</v>
      </c>
      <c r="AH65" s="35" t="s">
        <v>879</v>
      </c>
      <c r="AI65" s="35" t="s">
        <v>879</v>
      </c>
      <c r="AJ65" t="str">
        <f t="shared" si="43"/>
        <v>CAD_INP1</v>
      </c>
      <c r="AK65" t="str">
        <f t="shared" si="44"/>
        <v>9530</v>
      </c>
    </row>
    <row r="66" spans="1:37" ht="12.75">
      <c r="A66" s="82" t="s">
        <v>1246</v>
      </c>
      <c r="B66" s="78" t="str">
        <f t="shared" si="36"/>
        <v>Compr Bottle</v>
      </c>
      <c r="C66" s="78">
        <v>3</v>
      </c>
      <c r="D66" s="79"/>
      <c r="E66" s="80" t="str">
        <f t="shared" si="37"/>
        <v>ok</v>
      </c>
      <c r="F66" s="78" t="str">
        <f ca="1">MID(VLOOKUP($F$2,INDIRECT(A66),3,FALSE),1,3)</f>
        <v>CAD</v>
      </c>
      <c r="G66" s="78" t="str">
        <f t="shared" si="38"/>
        <v>/</v>
      </c>
      <c r="H66" s="80" t="str">
        <f t="shared" si="39"/>
        <v>TBD from created superior equipment</v>
      </c>
      <c r="I66" s="80" t="s">
        <v>879</v>
      </c>
      <c r="J66" s="80" t="str">
        <f ca="1">CONCATENATE(MID(VLOOKUP($J$2,INDIRECT(A66),3,FALSE),6,99)," ",VLOOKUP($J$3,INDIRECT(A66),3,FALSE))</f>
        <v>Compr Bottle </v>
      </c>
      <c r="K66" s="78" t="str">
        <f t="shared" si="40"/>
        <v>CAD</v>
      </c>
      <c r="L66" s="78" t="str">
        <f t="shared" si="41"/>
        <v>/</v>
      </c>
      <c r="M66" s="80" t="str">
        <f t="shared" si="42"/>
        <v>TBD from created superior equipment</v>
      </c>
      <c r="N66" s="80" t="str">
        <f ca="1">VLOOKUP($N$2,INDIRECT(A66),3,FALSE)</f>
        <v>/</v>
      </c>
      <c r="O66" s="80" t="s">
        <v>879</v>
      </c>
      <c r="P66" s="80" t="s">
        <v>879</v>
      </c>
      <c r="Q66" s="80" t="s">
        <v>879</v>
      </c>
      <c r="R66" s="80" t="s">
        <v>879</v>
      </c>
      <c r="S66" s="80" t="s">
        <v>879</v>
      </c>
      <c r="T66" s="80" t="str">
        <f ca="1">MID(VLOOKUP($T$2,INDIRECT(A66),3,FALSE),1,4)</f>
        <v>9530</v>
      </c>
      <c r="U66" s="80" t="s">
        <v>879</v>
      </c>
      <c r="V66" s="80" t="s">
        <v>879</v>
      </c>
      <c r="W66" s="80" t="s">
        <v>879</v>
      </c>
      <c r="X66" s="80" t="str">
        <f ca="1">VLOOKUP($X$2,INDIRECT(A66),3,FALSE)</f>
        <v>/</v>
      </c>
      <c r="Y66" s="80" t="str">
        <f ca="1">VLOOKUP($Y$2,INDIRECT(A66),3,FALSE)</f>
        <v>/</v>
      </c>
      <c r="Z66" s="80" t="str">
        <f ca="1">VLOOKUP($Z$2,INDIRECT($A66),3,FALSE)</f>
        <v>/</v>
      </c>
      <c r="AA66" s="80" t="str">
        <f ca="1">VLOOKUP($AA$2,INDIRECT($A66),3,FALSE)</f>
        <v>/</v>
      </c>
      <c r="AB66" s="80" t="s">
        <v>879</v>
      </c>
      <c r="AC66" s="80" t="str">
        <f ca="1">VLOOKUP($AC$2,INDIRECT($A66),3,FALSE)</f>
        <v>/</v>
      </c>
      <c r="AD66" s="80" t="s">
        <v>879</v>
      </c>
      <c r="AE66" s="80" t="s">
        <v>879</v>
      </c>
      <c r="AF66" s="80" t="s">
        <v>879</v>
      </c>
      <c r="AG66" s="80" t="s">
        <v>879</v>
      </c>
      <c r="AH66" s="80" t="s">
        <v>879</v>
      </c>
      <c r="AI66" s="80" t="s">
        <v>879</v>
      </c>
      <c r="AJ66" s="78" t="str">
        <f t="shared" si="43"/>
        <v>CAD_INP1</v>
      </c>
      <c r="AK66" s="78" t="str">
        <f t="shared" si="44"/>
        <v>9530</v>
      </c>
    </row>
    <row r="67" spans="1:37" ht="12.75">
      <c r="A67" s="82" t="s">
        <v>1246</v>
      </c>
      <c r="B67" s="78" t="str">
        <f t="shared" si="36"/>
        <v>Compr Bottle</v>
      </c>
      <c r="C67" s="78">
        <v>3</v>
      </c>
      <c r="D67" s="79"/>
      <c r="E67" s="80" t="str">
        <f t="shared" si="37"/>
        <v>ok</v>
      </c>
      <c r="F67" s="78" t="str">
        <f ca="1">MID(VLOOKUP($F$2,INDIRECT(A67),3,FALSE),1,3)</f>
        <v>CAD</v>
      </c>
      <c r="G67" s="78" t="str">
        <f t="shared" si="38"/>
        <v>/</v>
      </c>
      <c r="H67" s="80" t="str">
        <f t="shared" si="39"/>
        <v>TBD from created superior equipment</v>
      </c>
      <c r="I67" s="80" t="s">
        <v>879</v>
      </c>
      <c r="J67" s="80" t="str">
        <f ca="1">CONCATENATE(MID(VLOOKUP($J$2,INDIRECT(A67),4,FALSE),6,99)," ",VLOOKUP($J$3,INDIRECT(A67),4,FALSE))</f>
        <v>Compr Bottle </v>
      </c>
      <c r="K67" s="78" t="str">
        <f t="shared" si="40"/>
        <v>CAD</v>
      </c>
      <c r="L67" s="78" t="str">
        <f t="shared" si="41"/>
        <v>/</v>
      </c>
      <c r="M67" s="80" t="str">
        <f t="shared" si="42"/>
        <v>TBD from created superior equipment</v>
      </c>
      <c r="N67" s="80" t="str">
        <f ca="1">VLOOKUP($N$2,INDIRECT(A67),4,FALSE)</f>
        <v>/</v>
      </c>
      <c r="O67" s="80" t="s">
        <v>879</v>
      </c>
      <c r="P67" s="80" t="s">
        <v>879</v>
      </c>
      <c r="Q67" s="80" t="s">
        <v>879</v>
      </c>
      <c r="R67" s="80" t="s">
        <v>879</v>
      </c>
      <c r="S67" s="80" t="s">
        <v>879</v>
      </c>
      <c r="T67" s="80" t="str">
        <f ca="1">MID(VLOOKUP($T$2,INDIRECT(A67),4,FALSE),1,4)</f>
        <v>9530</v>
      </c>
      <c r="U67" s="80" t="s">
        <v>879</v>
      </c>
      <c r="V67" s="80" t="s">
        <v>879</v>
      </c>
      <c r="W67" s="80" t="s">
        <v>879</v>
      </c>
      <c r="X67" s="80" t="str">
        <f ca="1">VLOOKUP($X$2,INDIRECT(A67),4,FALSE)</f>
        <v>/</v>
      </c>
      <c r="Y67" s="80" t="str">
        <f ca="1">VLOOKUP($Y$2,INDIRECT(A67),4,FALSE)</f>
        <v>/</v>
      </c>
      <c r="Z67" s="80" t="str">
        <f ca="1">VLOOKUP($Z$2,INDIRECT($A67),4,FALSE)</f>
        <v>/</v>
      </c>
      <c r="AA67" s="80" t="str">
        <f ca="1">VLOOKUP($AA$2,INDIRECT($A67),4,FALSE)</f>
        <v>/</v>
      </c>
      <c r="AB67" s="80" t="s">
        <v>879</v>
      </c>
      <c r="AC67" s="80" t="str">
        <f ca="1">VLOOKUP($AC$2,INDIRECT($A67),4,FALSE)</f>
        <v>/</v>
      </c>
      <c r="AD67" s="80" t="s">
        <v>879</v>
      </c>
      <c r="AE67" s="80" t="s">
        <v>879</v>
      </c>
      <c r="AF67" s="80" t="s">
        <v>879</v>
      </c>
      <c r="AG67" s="80" t="s">
        <v>879</v>
      </c>
      <c r="AH67" s="80" t="s">
        <v>879</v>
      </c>
      <c r="AI67" s="80" t="s">
        <v>879</v>
      </c>
      <c r="AJ67" s="78" t="str">
        <f t="shared" si="43"/>
        <v>CAD_INP1</v>
      </c>
      <c r="AK67" s="78" t="str">
        <f t="shared" si="44"/>
        <v>9530</v>
      </c>
    </row>
    <row r="68" spans="1:37" ht="12.75">
      <c r="A68" s="82" t="s">
        <v>1246</v>
      </c>
      <c r="B68" s="78" t="str">
        <f t="shared" si="36"/>
        <v>Compr Bottle</v>
      </c>
      <c r="C68" s="78">
        <v>3</v>
      </c>
      <c r="D68" s="79"/>
      <c r="E68" s="80" t="str">
        <f t="shared" si="37"/>
        <v>ok</v>
      </c>
      <c r="F68" s="78" t="str">
        <f ca="1">MID(VLOOKUP($F$2,INDIRECT(A68),3,FALSE),1,3)</f>
        <v>CAD</v>
      </c>
      <c r="G68" s="78" t="str">
        <f t="shared" si="38"/>
        <v>/</v>
      </c>
      <c r="H68" s="80" t="str">
        <f t="shared" si="39"/>
        <v>TBD from created superior equipment</v>
      </c>
      <c r="I68" s="80" t="s">
        <v>879</v>
      </c>
      <c r="J68" s="80" t="str">
        <f ca="1">CONCATENATE(MID(VLOOKUP($J$2,INDIRECT(A68),3,FALSE),6,99)," ",VLOOKUP($J$3,INDIRECT(A68),3,FALSE))</f>
        <v>Compr Bottle </v>
      </c>
      <c r="K68" s="78" t="str">
        <f t="shared" si="40"/>
        <v>CAD</v>
      </c>
      <c r="L68" s="78" t="str">
        <f t="shared" si="41"/>
        <v>/</v>
      </c>
      <c r="M68" s="80" t="str">
        <f t="shared" si="42"/>
        <v>TBD from created superior equipment</v>
      </c>
      <c r="N68" s="80" t="str">
        <f ca="1">VLOOKUP($N$2,INDIRECT(A68),5,FALSE)</f>
        <v>/</v>
      </c>
      <c r="O68" s="80" t="s">
        <v>879</v>
      </c>
      <c r="P68" s="80" t="s">
        <v>879</v>
      </c>
      <c r="Q68" s="80" t="s">
        <v>879</v>
      </c>
      <c r="R68" s="80" t="s">
        <v>879</v>
      </c>
      <c r="S68" s="80" t="s">
        <v>879</v>
      </c>
      <c r="T68" s="80" t="str">
        <f ca="1">MID(VLOOKUP($T$2,INDIRECT(A68),5,FALSE),1,4)</f>
        <v>9530</v>
      </c>
      <c r="U68" s="80" t="s">
        <v>879</v>
      </c>
      <c r="V68" s="80" t="s">
        <v>879</v>
      </c>
      <c r="W68" s="80" t="s">
        <v>879</v>
      </c>
      <c r="X68" s="80" t="str">
        <f ca="1">VLOOKUP($X$2,INDIRECT(A68),5,FALSE)</f>
        <v>/</v>
      </c>
      <c r="Y68" s="80" t="str">
        <f ca="1">VLOOKUP($Y$2,INDIRECT(A68),5,FALSE)</f>
        <v>/</v>
      </c>
      <c r="Z68" s="80" t="str">
        <f ca="1">VLOOKUP($Z$2,INDIRECT($A68),5,FALSE)</f>
        <v>/</v>
      </c>
      <c r="AA68" s="80" t="str">
        <f ca="1">VLOOKUP($AA$2,INDIRECT($A68),5,FALSE)</f>
        <v>/</v>
      </c>
      <c r="AB68" s="80" t="s">
        <v>879</v>
      </c>
      <c r="AC68" s="80" t="str">
        <f ca="1">VLOOKUP($AC$2,INDIRECT($A68),5,FALSE)</f>
        <v>/</v>
      </c>
      <c r="AD68" s="80" t="s">
        <v>879</v>
      </c>
      <c r="AE68" s="80" t="s">
        <v>879</v>
      </c>
      <c r="AF68" s="80" t="s">
        <v>879</v>
      </c>
      <c r="AG68" s="80" t="s">
        <v>879</v>
      </c>
      <c r="AH68" s="80" t="s">
        <v>879</v>
      </c>
      <c r="AI68" s="80" t="s">
        <v>879</v>
      </c>
      <c r="AJ68" s="78" t="str">
        <f t="shared" si="43"/>
        <v>CAD_INP1</v>
      </c>
      <c r="AK68" s="78" t="str">
        <f t="shared" si="44"/>
        <v>9530</v>
      </c>
    </row>
    <row r="69" spans="1:37" ht="12.75">
      <c r="A69" s="82" t="s">
        <v>1246</v>
      </c>
      <c r="B69" s="78" t="str">
        <f t="shared" si="36"/>
        <v>Compr Bottle</v>
      </c>
      <c r="C69" s="78">
        <v>3</v>
      </c>
      <c r="D69" s="79"/>
      <c r="E69" s="80" t="str">
        <f t="shared" si="37"/>
        <v>ok</v>
      </c>
      <c r="F69" s="78" t="str">
        <f ca="1">MID(VLOOKUP($F$2,INDIRECT(A69),3,FALSE),1,3)</f>
        <v>CAD</v>
      </c>
      <c r="G69" s="78" t="str">
        <f t="shared" si="38"/>
        <v>/</v>
      </c>
      <c r="H69" s="80" t="str">
        <f t="shared" si="39"/>
        <v>TBD from created superior equipment</v>
      </c>
      <c r="I69" s="80" t="s">
        <v>879</v>
      </c>
      <c r="J69" s="80" t="str">
        <f ca="1">CONCATENATE(MID(VLOOKUP($J$2,INDIRECT(A69),3,FALSE),6,99)," ",VLOOKUP($J$3,INDIRECT(A69),3,FALSE))</f>
        <v>Compr Bottle </v>
      </c>
      <c r="K69" s="78" t="str">
        <f t="shared" si="40"/>
        <v>CAD</v>
      </c>
      <c r="L69" s="78" t="str">
        <f t="shared" si="41"/>
        <v>/</v>
      </c>
      <c r="M69" s="80" t="str">
        <f t="shared" si="42"/>
        <v>TBD from created superior equipment</v>
      </c>
      <c r="N69" s="80" t="str">
        <f ca="1">VLOOKUP($N$2,INDIRECT(A69),6,FALSE)</f>
        <v>/</v>
      </c>
      <c r="O69" s="80" t="s">
        <v>879</v>
      </c>
      <c r="P69" s="80" t="s">
        <v>879</v>
      </c>
      <c r="Q69" s="80" t="s">
        <v>879</v>
      </c>
      <c r="R69" s="80" t="s">
        <v>879</v>
      </c>
      <c r="S69" s="80" t="s">
        <v>879</v>
      </c>
      <c r="T69" s="80" t="str">
        <f ca="1">MID(VLOOKUP($T$2,INDIRECT(A69),6,FALSE),1,4)</f>
        <v>9530</v>
      </c>
      <c r="U69" s="80" t="s">
        <v>879</v>
      </c>
      <c r="V69" s="80" t="s">
        <v>879</v>
      </c>
      <c r="W69" s="80" t="s">
        <v>879</v>
      </c>
      <c r="X69" s="80" t="str">
        <f ca="1">VLOOKUP($X$2,INDIRECT(A69),6,FALSE)</f>
        <v>/</v>
      </c>
      <c r="Y69" s="80" t="str">
        <f ca="1">VLOOKUP($Y$2,INDIRECT(A69),6,FALSE)</f>
        <v>/</v>
      </c>
      <c r="Z69" s="80" t="str">
        <f ca="1">VLOOKUP($Z$2,INDIRECT($A69),6,FALSE)</f>
        <v>/</v>
      </c>
      <c r="AA69" s="80" t="str">
        <f ca="1">VLOOKUP($AA$2,INDIRECT($A69),6,FALSE)</f>
        <v>/</v>
      </c>
      <c r="AB69" s="80" t="s">
        <v>879</v>
      </c>
      <c r="AC69" s="80" t="str">
        <f ca="1">VLOOKUP($AC$2,INDIRECT($A69),6,FALSE)</f>
        <v>/</v>
      </c>
      <c r="AD69" s="80" t="s">
        <v>879</v>
      </c>
      <c r="AE69" s="80" t="s">
        <v>879</v>
      </c>
      <c r="AF69" s="80" t="s">
        <v>879</v>
      </c>
      <c r="AG69" s="80" t="s">
        <v>879</v>
      </c>
      <c r="AH69" s="80" t="s">
        <v>879</v>
      </c>
      <c r="AI69" s="80" t="s">
        <v>879</v>
      </c>
      <c r="AJ69" s="78" t="str">
        <f t="shared" si="43"/>
        <v>CAD_INP1</v>
      </c>
      <c r="AK69" s="78" t="str">
        <f t="shared" si="44"/>
        <v>9530</v>
      </c>
    </row>
    <row r="70" spans="1:37" ht="12.75">
      <c r="A70" s="82" t="s">
        <v>1246</v>
      </c>
      <c r="B70" s="78" t="str">
        <f t="shared" si="36"/>
        <v>Compr Bottle</v>
      </c>
      <c r="C70" s="78">
        <v>3</v>
      </c>
      <c r="D70" s="79"/>
      <c r="E70" s="80" t="str">
        <f t="shared" si="37"/>
        <v>ok</v>
      </c>
      <c r="F70" s="78" t="str">
        <f ca="1">MID(VLOOKUP($F$2,INDIRECT(A70),3,FALSE),1,3)</f>
        <v>CAD</v>
      </c>
      <c r="G70" s="78" t="str">
        <f t="shared" si="38"/>
        <v>/</v>
      </c>
      <c r="H70" s="80" t="str">
        <f t="shared" si="39"/>
        <v>TBD from created superior equipment</v>
      </c>
      <c r="I70" s="80" t="s">
        <v>879</v>
      </c>
      <c r="J70" s="80" t="str">
        <f ca="1">CONCATENATE(MID(VLOOKUP($J$2,INDIRECT(A70),3,FALSE),6,99)," ",VLOOKUP($J$3,INDIRECT(A70),3,FALSE))</f>
        <v>Compr Bottle </v>
      </c>
      <c r="K70" s="78" t="str">
        <f t="shared" si="40"/>
        <v>CAD</v>
      </c>
      <c r="L70" s="78" t="str">
        <f t="shared" si="41"/>
        <v>/</v>
      </c>
      <c r="M70" s="80" t="str">
        <f t="shared" si="42"/>
        <v>TBD from created superior equipment</v>
      </c>
      <c r="N70" s="80" t="str">
        <f ca="1">VLOOKUP($N$2,INDIRECT(A70),7,FALSE)</f>
        <v>/</v>
      </c>
      <c r="O70" s="80" t="s">
        <v>879</v>
      </c>
      <c r="P70" s="80" t="s">
        <v>879</v>
      </c>
      <c r="Q70" s="80" t="s">
        <v>879</v>
      </c>
      <c r="R70" s="80" t="s">
        <v>879</v>
      </c>
      <c r="S70" s="80" t="s">
        <v>879</v>
      </c>
      <c r="T70" s="80" t="str">
        <f ca="1">MID(VLOOKUP($T$2,INDIRECT(A70),7,FALSE),1,4)</f>
        <v>9530</v>
      </c>
      <c r="U70" s="80" t="s">
        <v>879</v>
      </c>
      <c r="V70" s="80" t="s">
        <v>879</v>
      </c>
      <c r="W70" s="80" t="s">
        <v>879</v>
      </c>
      <c r="X70" s="80" t="str">
        <f ca="1">VLOOKUP($X$2,INDIRECT(A70),7,FALSE)</f>
        <v>/</v>
      </c>
      <c r="Y70" s="80" t="str">
        <f ca="1">VLOOKUP($Y$2,INDIRECT(A70),7,FALSE)</f>
        <v>/</v>
      </c>
      <c r="Z70" s="80" t="str">
        <f ca="1">VLOOKUP($Z$2,INDIRECT($A70),7,FALSE)</f>
        <v>/</v>
      </c>
      <c r="AA70" s="80" t="str">
        <f ca="1">VLOOKUP($AA$2,INDIRECT($A70),7,FALSE)</f>
        <v>/</v>
      </c>
      <c r="AB70" s="80" t="s">
        <v>879</v>
      </c>
      <c r="AC70" s="80" t="str">
        <f ca="1">VLOOKUP($AC$2,INDIRECT($A70),7,FALSE)</f>
        <v>/</v>
      </c>
      <c r="AD70" s="80" t="s">
        <v>879</v>
      </c>
      <c r="AE70" s="80" t="s">
        <v>879</v>
      </c>
      <c r="AF70" s="80" t="s">
        <v>879</v>
      </c>
      <c r="AG70" s="80" t="s">
        <v>879</v>
      </c>
      <c r="AH70" s="80" t="s">
        <v>879</v>
      </c>
      <c r="AI70" s="80" t="s">
        <v>879</v>
      </c>
      <c r="AJ70" s="78" t="str">
        <f t="shared" si="43"/>
        <v>CAD_INP1</v>
      </c>
      <c r="AK70" s="78" t="str">
        <f t="shared" si="44"/>
        <v>9530</v>
      </c>
    </row>
    <row r="71" spans="1:37" ht="12.75">
      <c r="A71" s="81" t="s">
        <v>1273</v>
      </c>
      <c r="B71" s="32" t="str">
        <f t="shared" si="36"/>
        <v>Hoist</v>
      </c>
      <c r="C71" s="32">
        <v>4</v>
      </c>
      <c r="D71" s="33"/>
      <c r="E71" s="32" t="str">
        <f t="shared" si="37"/>
        <v>ok</v>
      </c>
      <c r="F71" s="32" t="str">
        <f ca="1">MID(VLOOKUP($F$2,INDIRECT(A71),2,FALSE),1,3)</f>
        <v>CAD</v>
      </c>
      <c r="G71" s="32" t="str">
        <f t="shared" si="38"/>
        <v>/</v>
      </c>
      <c r="H71" s="32" t="str">
        <f t="shared" si="39"/>
        <v>TBD from created superior equipment</v>
      </c>
      <c r="I71" s="35" t="s">
        <v>879</v>
      </c>
      <c r="J71" t="str">
        <f ca="1">CONCATENATE(MID(VLOOKUP($J$2,INDIRECT(A71),2,FALSE),6,99)," ",VLOOKUP($J$3,INDIRECT(A71),2,FALSE))</f>
        <v>Hoist </v>
      </c>
      <c r="K71" t="str">
        <f t="shared" si="40"/>
        <v>CAD</v>
      </c>
      <c r="L71" t="str">
        <f t="shared" si="41"/>
        <v>/</v>
      </c>
      <c r="M71" s="35" t="str">
        <f t="shared" si="42"/>
        <v>TBD from created superior equipment</v>
      </c>
      <c r="N71" s="35" t="str">
        <f ca="1">VLOOKUP($N$2,INDIRECT(A71),2,FALSE)</f>
        <v>/</v>
      </c>
      <c r="O71" s="35" t="s">
        <v>879</v>
      </c>
      <c r="P71" s="35" t="s">
        <v>879</v>
      </c>
      <c r="Q71" s="35" t="s">
        <v>879</v>
      </c>
      <c r="R71" s="35" t="s">
        <v>879</v>
      </c>
      <c r="S71" s="35" t="s">
        <v>879</v>
      </c>
      <c r="T71" s="35" t="str">
        <f ca="1">MID(VLOOKUP($T$2,INDIRECT(A71),2,FALSE),1,4)</f>
        <v>1908</v>
      </c>
      <c r="U71" s="35" t="s">
        <v>879</v>
      </c>
      <c r="V71" s="35" t="s">
        <v>879</v>
      </c>
      <c r="W71" s="35" t="s">
        <v>879</v>
      </c>
      <c r="X71" s="35" t="str">
        <f ca="1">VLOOKUP($X$2,INDIRECT(A71),2,FALSE)</f>
        <v>/</v>
      </c>
      <c r="Y71" s="35" t="str">
        <f ca="1">VLOOKUP($Y$2,INDIRECT(A71),2,FALSE)</f>
        <v>/</v>
      </c>
      <c r="Z71" s="35" t="str">
        <f ca="1">VLOOKUP($Z$2,INDIRECT($A71),2,FALSE)</f>
        <v>/</v>
      </c>
      <c r="AA71" s="35" t="str">
        <f ca="1">VLOOKUP($AA$2,INDIRECT($A71),2,FALSE)</f>
        <v>/</v>
      </c>
      <c r="AB71" s="35" t="s">
        <v>879</v>
      </c>
      <c r="AC71" s="35" t="str">
        <f ca="1">VLOOKUP($AC$2,INDIRECT($A71),2,FALSE)</f>
        <v>/</v>
      </c>
      <c r="AD71" s="35" t="s">
        <v>879</v>
      </c>
      <c r="AE71" s="35" t="s">
        <v>879</v>
      </c>
      <c r="AF71" s="35" t="s">
        <v>879</v>
      </c>
      <c r="AG71" s="35" t="s">
        <v>879</v>
      </c>
      <c r="AH71" s="35" t="s">
        <v>879</v>
      </c>
      <c r="AI71" s="35" t="s">
        <v>879</v>
      </c>
      <c r="AJ71" t="str">
        <f t="shared" si="43"/>
        <v>CAD_SER1</v>
      </c>
      <c r="AK71" t="str">
        <f t="shared" si="44"/>
        <v>1908</v>
      </c>
    </row>
    <row r="72" spans="1:37" ht="12.75">
      <c r="A72" s="81" t="s">
        <v>1274</v>
      </c>
      <c r="B72" s="32" t="str">
        <f t="shared" si="36"/>
        <v>Trolley</v>
      </c>
      <c r="C72" s="32">
        <v>4</v>
      </c>
      <c r="D72" s="33"/>
      <c r="E72" s="32" t="str">
        <f t="shared" si="37"/>
        <v>ok</v>
      </c>
      <c r="F72" s="32" t="str">
        <f ca="1">MID(VLOOKUP($F$2,INDIRECT(A72),2,FALSE),1,3)</f>
        <v>CAD</v>
      </c>
      <c r="G72" s="32" t="str">
        <f t="shared" si="38"/>
        <v>/</v>
      </c>
      <c r="H72" s="32" t="str">
        <f t="shared" si="39"/>
        <v>TBD from created superior equipment</v>
      </c>
      <c r="I72" s="35" t="s">
        <v>879</v>
      </c>
      <c r="J72" t="str">
        <f ca="1">CONCATENATE(MID(VLOOKUP($J$2,INDIRECT(A72),2,FALSE),6,99)," ",VLOOKUP($J$3,INDIRECT(A72),2,FALSE))</f>
        <v>Trolley </v>
      </c>
      <c r="K72" t="str">
        <f t="shared" si="40"/>
        <v>CAD</v>
      </c>
      <c r="L72" t="str">
        <f t="shared" si="41"/>
        <v>/</v>
      </c>
      <c r="M72" s="35" t="str">
        <f t="shared" si="42"/>
        <v>TBD from created superior equipment</v>
      </c>
      <c r="N72" s="35" t="str">
        <f ca="1">VLOOKUP($N$2,INDIRECT(A72),2,FALSE)</f>
        <v>/</v>
      </c>
      <c r="O72" s="35" t="s">
        <v>879</v>
      </c>
      <c r="P72" s="35" t="s">
        <v>879</v>
      </c>
      <c r="Q72" s="35" t="s">
        <v>879</v>
      </c>
      <c r="R72" s="35" t="s">
        <v>879</v>
      </c>
      <c r="S72" s="35" t="s">
        <v>879</v>
      </c>
      <c r="T72" s="35" t="str">
        <f ca="1">MID(VLOOKUP($T$2,INDIRECT(A72),2,FALSE),1,4)</f>
        <v>1910</v>
      </c>
      <c r="U72" s="35" t="s">
        <v>879</v>
      </c>
      <c r="V72" s="35" t="s">
        <v>879</v>
      </c>
      <c r="W72" s="35" t="s">
        <v>879</v>
      </c>
      <c r="X72" s="35" t="str">
        <f ca="1">VLOOKUP($X$2,INDIRECT(A72),2,FALSE)</f>
        <v>/</v>
      </c>
      <c r="Y72" s="35" t="str">
        <f ca="1">VLOOKUP($Y$2,INDIRECT(A72),2,FALSE)</f>
        <v>/</v>
      </c>
      <c r="Z72" s="35" t="str">
        <f ca="1">VLOOKUP($Z$2,INDIRECT($A72),2,FALSE)</f>
        <v>/</v>
      </c>
      <c r="AA72" s="35" t="str">
        <f ca="1">VLOOKUP($AA$2,INDIRECT($A72),2,FALSE)</f>
        <v>/</v>
      </c>
      <c r="AB72" s="35" t="s">
        <v>879</v>
      </c>
      <c r="AC72" s="35" t="str">
        <f ca="1">VLOOKUP($AC$2,INDIRECT($A72),2,FALSE)</f>
        <v>/</v>
      </c>
      <c r="AD72" s="35" t="s">
        <v>879</v>
      </c>
      <c r="AE72" s="35" t="s">
        <v>879</v>
      </c>
      <c r="AF72" s="35" t="s">
        <v>879</v>
      </c>
      <c r="AG72" s="35" t="s">
        <v>879</v>
      </c>
      <c r="AH72" s="35" t="s">
        <v>879</v>
      </c>
      <c r="AI72" s="35" t="s">
        <v>879</v>
      </c>
      <c r="AJ72" t="str">
        <f t="shared" si="43"/>
        <v>CAD_SER1</v>
      </c>
      <c r="AK72">
        <f t="shared" si="44"/>
        <v>1902</v>
      </c>
    </row>
    <row r="73" spans="1:37" ht="12.75">
      <c r="A73" s="81" t="s">
        <v>1275</v>
      </c>
      <c r="B73" s="32" t="str">
        <f t="shared" si="36"/>
        <v>UPS</v>
      </c>
      <c r="C73" s="32">
        <v>4</v>
      </c>
      <c r="D73" s="33"/>
      <c r="E73" s="32" t="str">
        <f t="shared" si="37"/>
        <v>ok</v>
      </c>
      <c r="F73" s="32" t="str">
        <f ca="1">MID(VLOOKUP($F$2,INDIRECT(A73),2,FALSE),1,3)</f>
        <v>CAD</v>
      </c>
      <c r="G73" s="32" t="str">
        <f t="shared" si="38"/>
        <v>/</v>
      </c>
      <c r="H73" s="32" t="str">
        <f t="shared" si="39"/>
        <v>TBD from created superior equipment</v>
      </c>
      <c r="I73" s="35" t="s">
        <v>879</v>
      </c>
      <c r="J73" t="str">
        <f ca="1">CONCATENATE(MID(VLOOKUP($J$2,INDIRECT(A73),2,FALSE),6,99)," ",VLOOKUP($J$3,INDIRECT(A73),2,FALSE))</f>
        <v>UPS </v>
      </c>
      <c r="K73" t="str">
        <f t="shared" si="40"/>
        <v>CAD</v>
      </c>
      <c r="L73" t="str">
        <f t="shared" si="41"/>
        <v>/</v>
      </c>
      <c r="M73" s="35" t="str">
        <f t="shared" si="42"/>
        <v>TBD from created superior equipment</v>
      </c>
      <c r="N73" s="35" t="str">
        <f ca="1">VLOOKUP($N$2,INDIRECT(A73),2,FALSE)</f>
        <v>/</v>
      </c>
      <c r="O73" s="35" t="s">
        <v>879</v>
      </c>
      <c r="P73" s="35" t="s">
        <v>879</v>
      </c>
      <c r="Q73" s="35" t="s">
        <v>879</v>
      </c>
      <c r="R73" s="35" t="s">
        <v>879</v>
      </c>
      <c r="S73" s="35" t="s">
        <v>879</v>
      </c>
      <c r="T73" s="35" t="str">
        <f ca="1">MID(VLOOKUP($T$2,INDIRECT(A73),2,FALSE),1,4)</f>
        <v>2841</v>
      </c>
      <c r="U73" s="35" t="s">
        <v>879</v>
      </c>
      <c r="V73" s="35" t="s">
        <v>879</v>
      </c>
      <c r="W73" s="35" t="s">
        <v>879</v>
      </c>
      <c r="X73" s="35" t="str">
        <f ca="1">VLOOKUP($X$2,INDIRECT(A73),2,FALSE)</f>
        <v>/</v>
      </c>
      <c r="Y73" s="35" t="str">
        <f ca="1">VLOOKUP($Y$2,INDIRECT(A73),2,FALSE)</f>
        <v>/</v>
      </c>
      <c r="Z73" s="35" t="str">
        <f ca="1">VLOOKUP($Z$2,INDIRECT($A73),2,FALSE)</f>
        <v>/</v>
      </c>
      <c r="AA73" s="35" t="str">
        <f ca="1">VLOOKUP($AA$2,INDIRECT($A73),2,FALSE)</f>
        <v>/</v>
      </c>
      <c r="AB73" s="35" t="s">
        <v>879</v>
      </c>
      <c r="AC73" s="35" t="str">
        <f ca="1">VLOOKUP($AC$2,INDIRECT($A73),2,FALSE)</f>
        <v>/</v>
      </c>
      <c r="AD73" s="35" t="s">
        <v>879</v>
      </c>
      <c r="AE73" s="35" t="s">
        <v>879</v>
      </c>
      <c r="AF73" s="35" t="s">
        <v>879</v>
      </c>
      <c r="AG73" s="35" t="s">
        <v>879</v>
      </c>
      <c r="AH73" s="35" t="s">
        <v>879</v>
      </c>
      <c r="AI73" s="35" t="s">
        <v>879</v>
      </c>
      <c r="AJ73" t="str">
        <f t="shared" si="43"/>
        <v>CAD_ELE1</v>
      </c>
      <c r="AK73">
        <f t="shared" si="44"/>
        <v>2841</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4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281</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119</v>
      </c>
      <c r="B21" s="87" t="s">
        <v>879</v>
      </c>
      <c r="C21" s="23"/>
    </row>
    <row r="22" spans="1:3" ht="12.75">
      <c r="A22" s="19" t="s">
        <v>21</v>
      </c>
      <c r="B22" s="87" t="s">
        <v>879</v>
      </c>
      <c r="C22" s="23" t="s">
        <v>510</v>
      </c>
    </row>
    <row r="23" spans="1:3" ht="12.75">
      <c r="A23" s="19" t="s">
        <v>377</v>
      </c>
      <c r="B23" s="87" t="s">
        <v>879</v>
      </c>
      <c r="C23" s="23"/>
    </row>
    <row r="24" spans="1:3" ht="12.75">
      <c r="A24" s="19" t="s">
        <v>351</v>
      </c>
      <c r="B24" s="87" t="s">
        <v>879</v>
      </c>
      <c r="C24" s="23" t="s">
        <v>510</v>
      </c>
    </row>
    <row r="26" spans="1:3" ht="25.5">
      <c r="A26" s="76" t="s">
        <v>1252</v>
      </c>
      <c r="B26" s="74"/>
      <c r="C26" s="23" t="s">
        <v>510</v>
      </c>
    </row>
    <row r="27" spans="1:3" ht="25.5">
      <c r="A27" s="76" t="s">
        <v>1253</v>
      </c>
      <c r="B27" s="74"/>
      <c r="C27" s="23" t="s">
        <v>510</v>
      </c>
    </row>
    <row r="28" spans="1:3" ht="12.75">
      <c r="A28" s="76" t="s">
        <v>1254</v>
      </c>
      <c r="B28" s="74"/>
      <c r="C28" s="23" t="s">
        <v>510</v>
      </c>
    </row>
    <row r="29" spans="1:3" ht="38.25">
      <c r="A29" s="76" t="s">
        <v>1255</v>
      </c>
      <c r="B29" s="74"/>
      <c r="C29" s="23" t="s">
        <v>510</v>
      </c>
    </row>
    <row r="30" spans="1:3" ht="51">
      <c r="A30" s="76" t="s">
        <v>1256</v>
      </c>
      <c r="B30" s="74"/>
      <c r="C30" s="23" t="s">
        <v>510</v>
      </c>
    </row>
    <row r="31" spans="1:3" ht="51">
      <c r="A31" s="76" t="s">
        <v>1257</v>
      </c>
      <c r="B31" s="74"/>
      <c r="C31" s="23" t="s">
        <v>510</v>
      </c>
    </row>
    <row r="32" spans="1:3" ht="25.5">
      <c r="A32" s="76" t="s">
        <v>1258</v>
      </c>
      <c r="B32" s="74"/>
      <c r="C32" s="23"/>
    </row>
    <row r="34" spans="1:3" ht="12.75">
      <c r="A34" s="120" t="s">
        <v>154</v>
      </c>
      <c r="B34" s="120"/>
      <c r="C34" s="120"/>
    </row>
    <row r="35" spans="1:3" ht="12.75">
      <c r="A35" s="121"/>
      <c r="B35" s="122"/>
      <c r="C35" s="123"/>
    </row>
    <row r="36" spans="1:3" ht="12.75">
      <c r="A36" s="124"/>
      <c r="B36" s="125"/>
      <c r="C36" s="126"/>
    </row>
    <row r="37" spans="1:3" ht="12.75">
      <c r="A37" s="124"/>
      <c r="B37" s="125"/>
      <c r="C37" s="126"/>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7"/>
      <c r="B44" s="128"/>
      <c r="C44" s="129"/>
    </row>
  </sheetData>
  <mergeCells count="2">
    <mergeCell ref="A34:C34"/>
    <mergeCell ref="A35:C44"/>
  </mergeCells>
  <dataValidations count="9">
    <dataValidation type="list" allowBlank="1" showInputMessage="1" showErrorMessage="1" sqref="B26:B31">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2">
      <formula1>POWER_SOURCE</formula1>
    </dataValidation>
    <dataValidation errorStyle="warning" type="list" allowBlank="1" showInputMessage="1" showErrorMessage="1" sqref="B24">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F6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193</v>
      </c>
      <c r="C3" s="4" t="s">
        <v>193</v>
      </c>
      <c r="D3" s="23"/>
    </row>
    <row r="4" spans="1:6" ht="12.75">
      <c r="A4" s="72" t="s">
        <v>6</v>
      </c>
      <c r="B4" s="4"/>
      <c r="C4" s="4"/>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VCCF008230</v>
      </c>
      <c r="C11" s="2" t="str">
        <f t="shared" si="0"/>
        <v>VCCF008230</v>
      </c>
      <c r="D11" s="72"/>
    </row>
    <row r="12" spans="1:4" ht="12.75">
      <c r="A12" s="72" t="s">
        <v>13</v>
      </c>
      <c r="B12" s="3"/>
      <c r="C12" s="3"/>
      <c r="D12" s="72"/>
    </row>
    <row r="13" spans="1:4" ht="12.75">
      <c r="A13" s="72" t="s">
        <v>491</v>
      </c>
      <c r="B13" s="4" t="str">
        <f>+'9707 Compressor Pkg'!B13</f>
        <v>INAC-Suspended, Shut-in</v>
      </c>
      <c r="C13" s="4" t="str">
        <f>+B13</f>
        <v>INAC-Suspended, Shut-in</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5" t="s">
        <v>19</v>
      </c>
      <c r="B20" s="87" t="s">
        <v>879</v>
      </c>
      <c r="C20" s="87" t="s">
        <v>879</v>
      </c>
      <c r="D20" s="23" t="s">
        <v>510</v>
      </c>
    </row>
    <row r="21" spans="1:4" ht="12.75">
      <c r="A21" s="5" t="s">
        <v>391</v>
      </c>
      <c r="B21" s="87" t="s">
        <v>879</v>
      </c>
      <c r="C21" s="87" t="s">
        <v>879</v>
      </c>
      <c r="D21" s="23"/>
    </row>
    <row r="22" spans="1:4" ht="12.75">
      <c r="A22" s="5" t="s">
        <v>392</v>
      </c>
      <c r="B22" s="87" t="s">
        <v>879</v>
      </c>
      <c r="C22" s="87" t="s">
        <v>879</v>
      </c>
      <c r="D22" s="23"/>
    </row>
    <row r="23" spans="1:4" ht="12.75">
      <c r="A23" s="5" t="s">
        <v>393</v>
      </c>
      <c r="B23" s="87" t="s">
        <v>879</v>
      </c>
      <c r="C23" s="87" t="s">
        <v>879</v>
      </c>
      <c r="D23" s="23" t="s">
        <v>512</v>
      </c>
    </row>
    <row r="24" spans="1:4" ht="12.75">
      <c r="A24" s="5" t="s">
        <v>394</v>
      </c>
      <c r="B24" s="87" t="s">
        <v>879</v>
      </c>
      <c r="C24" s="87" t="s">
        <v>879</v>
      </c>
      <c r="D24" s="23"/>
    </row>
    <row r="25" spans="1:4" ht="12.75">
      <c r="A25" s="5" t="s">
        <v>395</v>
      </c>
      <c r="B25" s="87" t="s">
        <v>879</v>
      </c>
      <c r="C25" s="87" t="s">
        <v>879</v>
      </c>
      <c r="D25" s="23"/>
    </row>
    <row r="26" spans="1:4" ht="12.75">
      <c r="A26" s="5" t="s">
        <v>396</v>
      </c>
      <c r="B26" s="87" t="s">
        <v>879</v>
      </c>
      <c r="C26" s="87" t="s">
        <v>879</v>
      </c>
      <c r="D26" s="23" t="s">
        <v>397</v>
      </c>
    </row>
    <row r="27" spans="1:4" ht="12.75">
      <c r="A27" s="5" t="s">
        <v>398</v>
      </c>
      <c r="B27" s="87" t="s">
        <v>879</v>
      </c>
      <c r="C27" s="87" t="s">
        <v>879</v>
      </c>
      <c r="D27" s="23"/>
    </row>
    <row r="28" spans="1:4" ht="12.75">
      <c r="A28" s="5" t="s">
        <v>399</v>
      </c>
      <c r="B28" s="87" t="s">
        <v>879</v>
      </c>
      <c r="C28" s="87" t="s">
        <v>879</v>
      </c>
      <c r="D28" s="23"/>
    </row>
    <row r="29" spans="1:4" ht="12.75">
      <c r="A29" s="5" t="s">
        <v>383</v>
      </c>
      <c r="B29" s="87" t="s">
        <v>879</v>
      </c>
      <c r="C29" s="87" t="s">
        <v>879</v>
      </c>
      <c r="D29" s="23" t="s">
        <v>510</v>
      </c>
    </row>
    <row r="30" spans="1:4" ht="12.75">
      <c r="A30" s="5" t="s">
        <v>400</v>
      </c>
      <c r="B30" s="87" t="s">
        <v>879</v>
      </c>
      <c r="C30" s="87" t="s">
        <v>879</v>
      </c>
      <c r="D30" s="23"/>
    </row>
    <row r="31" spans="1:4" ht="12.75">
      <c r="A31" s="5" t="s">
        <v>384</v>
      </c>
      <c r="B31" s="87" t="s">
        <v>879</v>
      </c>
      <c r="C31" s="87" t="s">
        <v>879</v>
      </c>
      <c r="D31" s="23" t="s">
        <v>510</v>
      </c>
    </row>
    <row r="32" spans="1:4" ht="12.75">
      <c r="A32" s="5" t="s">
        <v>119</v>
      </c>
      <c r="B32" s="87" t="s">
        <v>879</v>
      </c>
      <c r="C32" s="87" t="s">
        <v>879</v>
      </c>
      <c r="D32" s="23"/>
    </row>
    <row r="33" spans="1:4" ht="12.75">
      <c r="A33" s="5" t="s">
        <v>385</v>
      </c>
      <c r="B33" s="87" t="s">
        <v>879</v>
      </c>
      <c r="C33" s="87" t="s">
        <v>879</v>
      </c>
      <c r="D33" s="23" t="s">
        <v>510</v>
      </c>
    </row>
    <row r="34" spans="1:4" ht="12.75">
      <c r="A34" s="5" t="s">
        <v>386</v>
      </c>
      <c r="B34" s="87" t="s">
        <v>879</v>
      </c>
      <c r="C34" s="87" t="s">
        <v>879</v>
      </c>
      <c r="D34" s="23" t="s">
        <v>510</v>
      </c>
    </row>
    <row r="35" spans="1:4" ht="12.75">
      <c r="A35" s="5" t="s">
        <v>387</v>
      </c>
      <c r="B35" s="87" t="s">
        <v>879</v>
      </c>
      <c r="C35" s="87" t="s">
        <v>879</v>
      </c>
      <c r="D35" s="23" t="s">
        <v>510</v>
      </c>
    </row>
    <row r="36" spans="1:4" ht="12.75">
      <c r="A36" s="5" t="s">
        <v>388</v>
      </c>
      <c r="B36" s="87" t="s">
        <v>879</v>
      </c>
      <c r="C36" s="87" t="s">
        <v>879</v>
      </c>
      <c r="D36" s="23" t="s">
        <v>510</v>
      </c>
    </row>
    <row r="37" spans="1:4" ht="12.75">
      <c r="A37" s="5" t="s">
        <v>401</v>
      </c>
      <c r="B37" s="87" t="s">
        <v>879</v>
      </c>
      <c r="C37" s="87" t="s">
        <v>879</v>
      </c>
      <c r="D37" s="23"/>
    </row>
    <row r="38" spans="1:4" ht="12.75">
      <c r="A38" s="5" t="s">
        <v>389</v>
      </c>
      <c r="B38" s="87" t="s">
        <v>879</v>
      </c>
      <c r="C38" s="87" t="s">
        <v>879</v>
      </c>
      <c r="D38" s="23" t="s">
        <v>510</v>
      </c>
    </row>
    <row r="39" spans="1:4" ht="12.75">
      <c r="A39" s="5" t="s">
        <v>390</v>
      </c>
      <c r="B39" s="87" t="s">
        <v>879</v>
      </c>
      <c r="C39" s="87" t="s">
        <v>879</v>
      </c>
      <c r="D39" s="23" t="s">
        <v>510</v>
      </c>
    </row>
    <row r="40" spans="1:4" ht="12.75">
      <c r="A40" s="5" t="s">
        <v>402</v>
      </c>
      <c r="B40" s="87" t="s">
        <v>879</v>
      </c>
      <c r="C40" s="87" t="s">
        <v>879</v>
      </c>
      <c r="D40" s="23"/>
    </row>
    <row r="42" spans="1:4" ht="25.5">
      <c r="A42" s="76" t="s">
        <v>1252</v>
      </c>
      <c r="B42" s="74"/>
      <c r="C42" s="74"/>
      <c r="D42" s="23" t="s">
        <v>510</v>
      </c>
    </row>
    <row r="43" spans="1:4" ht="25.5">
      <c r="A43" s="76" t="s">
        <v>1253</v>
      </c>
      <c r="B43" s="74"/>
      <c r="C43" s="74"/>
      <c r="D43" s="23" t="s">
        <v>510</v>
      </c>
    </row>
    <row r="44" spans="1:4" ht="12.75">
      <c r="A44" s="76" t="s">
        <v>1254</v>
      </c>
      <c r="B44" s="74"/>
      <c r="C44" s="74"/>
      <c r="D44" s="23" t="s">
        <v>510</v>
      </c>
    </row>
    <row r="45" spans="1:4" ht="38.25">
      <c r="A45" s="76" t="s">
        <v>1255</v>
      </c>
      <c r="B45" s="74"/>
      <c r="C45" s="74"/>
      <c r="D45" s="23" t="s">
        <v>510</v>
      </c>
    </row>
    <row r="46" spans="1:4" ht="51">
      <c r="A46" s="76" t="s">
        <v>1256</v>
      </c>
      <c r="B46" s="74"/>
      <c r="C46" s="74"/>
      <c r="D46" s="23" t="s">
        <v>510</v>
      </c>
    </row>
    <row r="47" spans="1:4" ht="51">
      <c r="A47" s="76" t="s">
        <v>1257</v>
      </c>
      <c r="B47" s="74"/>
      <c r="C47" s="74"/>
      <c r="D47" s="23" t="s">
        <v>510</v>
      </c>
    </row>
    <row r="48" spans="1:4" ht="25.5">
      <c r="A48" s="76" t="s">
        <v>1258</v>
      </c>
      <c r="B48" s="74"/>
      <c r="C48" s="74"/>
      <c r="D48" s="23"/>
    </row>
    <row r="49" ht="12.75">
      <c r="C49" s="1"/>
    </row>
    <row r="50" spans="1:4" ht="12.75">
      <c r="A50" s="120" t="s">
        <v>154</v>
      </c>
      <c r="B50" s="120"/>
      <c r="C50" s="120"/>
      <c r="D50" s="120"/>
    </row>
    <row r="51" spans="1:4" ht="12.75">
      <c r="A51" s="121"/>
      <c r="B51" s="130"/>
      <c r="C51" s="122"/>
      <c r="D51" s="123"/>
    </row>
    <row r="52" spans="1:4" ht="12.75">
      <c r="A52" s="124"/>
      <c r="B52" s="125"/>
      <c r="C52" s="125"/>
      <c r="D52" s="126"/>
    </row>
    <row r="53" spans="1:4" ht="12.75">
      <c r="A53" s="124"/>
      <c r="B53" s="125"/>
      <c r="C53" s="125"/>
      <c r="D53" s="126"/>
    </row>
    <row r="54" spans="1:4" ht="12.75">
      <c r="A54" s="124"/>
      <c r="B54" s="125"/>
      <c r="C54" s="125"/>
      <c r="D54" s="126"/>
    </row>
    <row r="55" spans="1:4" ht="12.75">
      <c r="A55" s="124"/>
      <c r="B55" s="125"/>
      <c r="C55" s="125"/>
      <c r="D55" s="126"/>
    </row>
    <row r="56" spans="1:4" ht="12.75">
      <c r="A56" s="124"/>
      <c r="B56" s="125"/>
      <c r="C56" s="125"/>
      <c r="D56" s="126"/>
    </row>
    <row r="57" spans="1:4" ht="12.75">
      <c r="A57" s="124"/>
      <c r="B57" s="125"/>
      <c r="C57" s="125"/>
      <c r="D57" s="126"/>
    </row>
    <row r="58" spans="1:4" ht="12.75">
      <c r="A58" s="124"/>
      <c r="B58" s="125"/>
      <c r="C58" s="125"/>
      <c r="D58" s="126"/>
    </row>
    <row r="59" spans="1:4" ht="12.75">
      <c r="A59" s="124"/>
      <c r="B59" s="125"/>
      <c r="C59" s="125"/>
      <c r="D59" s="126"/>
    </row>
    <row r="60" spans="1:4" ht="12.75">
      <c r="A60" s="127"/>
      <c r="B60" s="128"/>
      <c r="C60" s="128"/>
      <c r="D60" s="129"/>
    </row>
  </sheetData>
  <mergeCells count="2">
    <mergeCell ref="A50:D50"/>
    <mergeCell ref="A51:D60"/>
  </mergeCells>
  <dataValidations count="11">
    <dataValidation type="list" allowBlank="1" showInputMessage="1" showErrorMessage="1" sqref="B42:C47">
      <formula1>YES_NO</formula1>
    </dataValidation>
    <dataValidation errorStyle="warning" type="list" allowBlank="1" showInputMessage="1" showErrorMessage="1" sqref="B13:C13">
      <formula1>STATUS</formula1>
    </dataValidation>
    <dataValidation errorStyle="warning" type="list" allowBlank="1" showInputMessage="1" showErrorMessage="1" sqref="B10:C10">
      <formula1>Process</formula1>
    </dataValidation>
    <dataValidation errorStyle="warning" type="list" allowBlank="1" showInputMessage="1" showErrorMessage="1" sqref="B7:C7">
      <formula1>Type_of_Facility</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34:C36 B38:C39">
      <formula1>YES_NO</formula1>
    </dataValidation>
    <dataValidation errorStyle="warning" type="list" allowBlank="1" showInputMessage="1" showErrorMessage="1" sqref="B33:C33">
      <formula1>SERVICE_FACTOR</formula1>
    </dataValidation>
    <dataValidation errorStyle="warning" type="list" allowBlank="1" showInputMessage="1" showErrorMessage="1" sqref="B31:C31">
      <formula1>MOTOR_VOLTAGE_RATING</formula1>
    </dataValidation>
    <dataValidation errorStyle="warning" type="list" allowBlank="1" showInputMessage="1" showErrorMessage="1" sqref="B29:C29">
      <formula1>MOTOR_SPACE_HEATER_RATED_VOLTS</formula1>
    </dataValidation>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63" r:id="rId3"/>
  <headerFooter alignWithMargins="0">
    <oddFooter>&amp;L&amp;F&amp;C&amp;P of &amp;N&amp;R&amp;A</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E6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4" sqref="E4"/>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v>10703964</v>
      </c>
      <c r="C2" s="72"/>
      <c r="E2" s="84" t="s">
        <v>1334</v>
      </c>
    </row>
    <row r="3" spans="1:3" ht="12.75">
      <c r="A3" s="72" t="s">
        <v>4</v>
      </c>
      <c r="B3" s="4" t="s">
        <v>209</v>
      </c>
      <c r="C3" s="23"/>
    </row>
    <row r="4" spans="1:5" ht="12.75">
      <c r="A4" s="72" t="s">
        <v>6</v>
      </c>
      <c r="B4" s="4" t="s">
        <v>1342</v>
      </c>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v>11671798</v>
      </c>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2" t="s">
        <v>1379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28</v>
      </c>
      <c r="C20" s="23" t="s">
        <v>510</v>
      </c>
    </row>
    <row r="21" spans="1:3" ht="12.75">
      <c r="A21" s="5" t="s">
        <v>405</v>
      </c>
      <c r="B21" s="107" t="s">
        <v>1304</v>
      </c>
      <c r="C21" s="23"/>
    </row>
    <row r="22" spans="1:3" ht="12.75">
      <c r="A22" s="5" t="s">
        <v>406</v>
      </c>
      <c r="B22" s="107" t="s">
        <v>1304</v>
      </c>
      <c r="C22" s="23"/>
    </row>
    <row r="23" spans="1:3" ht="12.75">
      <c r="A23" s="5" t="s">
        <v>407</v>
      </c>
      <c r="B23" s="87" t="s">
        <v>879</v>
      </c>
      <c r="C23" s="23"/>
    </row>
    <row r="24" spans="1:3" ht="12.75">
      <c r="A24" s="5" t="s">
        <v>408</v>
      </c>
      <c r="B24" s="87" t="s">
        <v>879</v>
      </c>
      <c r="C24" s="23" t="s">
        <v>512</v>
      </c>
    </row>
    <row r="25" spans="1:3" ht="12.75">
      <c r="A25" s="5" t="s">
        <v>409</v>
      </c>
      <c r="B25" s="107" t="s">
        <v>1343</v>
      </c>
      <c r="C25" s="23"/>
    </row>
    <row r="26" spans="1:3" ht="12.75">
      <c r="A26" s="5" t="s">
        <v>410</v>
      </c>
      <c r="B26" s="87" t="s">
        <v>879</v>
      </c>
      <c r="C26" s="23"/>
    </row>
    <row r="27" spans="1:3" ht="12.75">
      <c r="A27" s="5" t="s">
        <v>411</v>
      </c>
      <c r="B27" s="87" t="s">
        <v>879</v>
      </c>
      <c r="C27" s="23"/>
    </row>
    <row r="28" spans="1:3" ht="12.75">
      <c r="A28" s="5" t="s">
        <v>412</v>
      </c>
      <c r="B28" s="87" t="s">
        <v>879</v>
      </c>
      <c r="C28" s="23"/>
    </row>
    <row r="29" spans="1:3" ht="12.75">
      <c r="A29" s="5" t="s">
        <v>119</v>
      </c>
      <c r="B29" s="107" t="s">
        <v>1337</v>
      </c>
      <c r="C29" s="23"/>
    </row>
    <row r="30" spans="1:3" ht="12.75">
      <c r="A30" s="5" t="s">
        <v>368</v>
      </c>
      <c r="B30" s="87">
        <v>512</v>
      </c>
      <c r="C30" s="23"/>
    </row>
    <row r="31" spans="1:3" ht="12.75">
      <c r="A31" s="5" t="s">
        <v>377</v>
      </c>
      <c r="B31" s="87">
        <v>1200</v>
      </c>
      <c r="C31" s="23"/>
    </row>
    <row r="32" spans="1:3" ht="12.75">
      <c r="A32" s="5" t="s">
        <v>413</v>
      </c>
      <c r="B32" s="87" t="s">
        <v>879</v>
      </c>
      <c r="C32" s="23" t="s">
        <v>512</v>
      </c>
    </row>
    <row r="33" spans="1:3" ht="12.75">
      <c r="A33" s="5" t="s">
        <v>414</v>
      </c>
      <c r="B33" s="87" t="s">
        <v>879</v>
      </c>
      <c r="C33" s="23"/>
    </row>
    <row r="34" spans="1:3" ht="12.75">
      <c r="A34" s="5" t="s">
        <v>415</v>
      </c>
      <c r="B34" s="87" t="s">
        <v>879</v>
      </c>
      <c r="C34" s="23"/>
    </row>
    <row r="35" spans="1:3" ht="12.75">
      <c r="A35" s="5" t="s">
        <v>416</v>
      </c>
      <c r="B35" s="87" t="s">
        <v>879</v>
      </c>
      <c r="C35" s="23"/>
    </row>
    <row r="36" spans="1:3" ht="12.75">
      <c r="A36" s="5" t="s">
        <v>417</v>
      </c>
      <c r="B36" s="87" t="s">
        <v>879</v>
      </c>
      <c r="C36" s="23"/>
    </row>
    <row r="37" spans="1:3" ht="12.75">
      <c r="A37" s="5" t="s">
        <v>403</v>
      </c>
      <c r="B37" s="87" t="s">
        <v>879</v>
      </c>
      <c r="C37" s="23" t="s">
        <v>510</v>
      </c>
    </row>
    <row r="38" spans="1:3" ht="12.75">
      <c r="A38" s="5" t="s">
        <v>366</v>
      </c>
      <c r="B38" s="87" t="s">
        <v>879</v>
      </c>
      <c r="C38" s="23" t="s">
        <v>367</v>
      </c>
    </row>
    <row r="39" spans="1:3" ht="12.75">
      <c r="A39" s="5" t="s">
        <v>418</v>
      </c>
      <c r="B39" s="87" t="s">
        <v>879</v>
      </c>
      <c r="C39" s="23" t="s">
        <v>355</v>
      </c>
    </row>
    <row r="40" spans="1:3" ht="12.75">
      <c r="A40" s="5" t="s">
        <v>419</v>
      </c>
      <c r="B40" s="87" t="s">
        <v>879</v>
      </c>
      <c r="C40" s="23" t="s">
        <v>513</v>
      </c>
    </row>
    <row r="41" spans="1:3" ht="12.75">
      <c r="A41" s="5" t="s">
        <v>404</v>
      </c>
      <c r="B41" s="87" t="s">
        <v>31</v>
      </c>
      <c r="C41" s="23" t="s">
        <v>510</v>
      </c>
    </row>
    <row r="43" spans="1:3" ht="25.5">
      <c r="A43" s="76" t="s">
        <v>1252</v>
      </c>
      <c r="B43" s="74"/>
      <c r="C43" s="23" t="s">
        <v>510</v>
      </c>
    </row>
    <row r="44" spans="1:3" ht="25.5">
      <c r="A44" s="76" t="s">
        <v>1253</v>
      </c>
      <c r="B44" s="74"/>
      <c r="C44" s="23" t="s">
        <v>510</v>
      </c>
    </row>
    <row r="45" spans="1:3" ht="12.75">
      <c r="A45" s="76" t="s">
        <v>1254</v>
      </c>
      <c r="B45" s="74"/>
      <c r="C45" s="23" t="s">
        <v>510</v>
      </c>
    </row>
    <row r="46" spans="1:3" ht="38.25">
      <c r="A46" s="76" t="s">
        <v>1255</v>
      </c>
      <c r="B46" s="74"/>
      <c r="C46" s="23" t="s">
        <v>510</v>
      </c>
    </row>
    <row r="47" spans="1:3" ht="51">
      <c r="A47" s="76" t="s">
        <v>1256</v>
      </c>
      <c r="B47" s="74"/>
      <c r="C47" s="23" t="s">
        <v>510</v>
      </c>
    </row>
    <row r="48" spans="1:3" ht="51">
      <c r="A48" s="76" t="s">
        <v>1257</v>
      </c>
      <c r="B48" s="74"/>
      <c r="C48" s="23" t="s">
        <v>510</v>
      </c>
    </row>
    <row r="49" spans="1:3" ht="25.5">
      <c r="A49" s="76" t="s">
        <v>1258</v>
      </c>
      <c r="B49" s="74"/>
      <c r="C49" s="23"/>
    </row>
    <row r="51" spans="1:3" ht="12.75">
      <c r="A51" s="120" t="s">
        <v>154</v>
      </c>
      <c r="B51" s="120"/>
      <c r="C51" s="120"/>
    </row>
    <row r="52" spans="1:3" ht="12.75">
      <c r="A52" s="121"/>
      <c r="B52" s="122"/>
      <c r="C52" s="123"/>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4"/>
      <c r="B58" s="125"/>
      <c r="C58" s="126"/>
    </row>
    <row r="59" spans="1:3" ht="12.75">
      <c r="A59" s="124"/>
      <c r="B59" s="125"/>
      <c r="C59" s="126"/>
    </row>
    <row r="60" spans="1:3" ht="12.75">
      <c r="A60" s="124"/>
      <c r="B60" s="125"/>
      <c r="C60" s="126"/>
    </row>
    <row r="61" spans="1:3" ht="12.75">
      <c r="A61" s="127"/>
      <c r="B61" s="128"/>
      <c r="C61" s="129"/>
    </row>
  </sheetData>
  <mergeCells count="2">
    <mergeCell ref="A51:C51"/>
    <mergeCell ref="A52:C61"/>
  </mergeCells>
  <dataValidations count="9">
    <dataValidation type="list" allowBlank="1" showInputMessage="1" showErrorMessage="1" sqref="B43:B48">
      <formula1>YES_NO</formula1>
    </dataValidation>
    <dataValidation errorStyle="warning" type="list" allowBlank="1" showInputMessage="1" showErrorMessage="1" sqref="B41">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37">
      <formula1>Governor_Type</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6" r:id="rId3"/>
  <headerFooter alignWithMargins="0">
    <oddFooter>&amp;L&amp;F&amp;C&amp;P of &amp;N&amp;R&amp;A</oddFoot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E6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1281</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420</v>
      </c>
      <c r="B21" s="87" t="s">
        <v>879</v>
      </c>
      <c r="C21" s="23"/>
    </row>
    <row r="22" spans="1:3" ht="12.75">
      <c r="A22" s="19" t="s">
        <v>421</v>
      </c>
      <c r="B22" s="87" t="s">
        <v>879</v>
      </c>
      <c r="C22" s="23"/>
    </row>
    <row r="23" spans="1:3" ht="12.75">
      <c r="A23" s="19" t="s">
        <v>422</v>
      </c>
      <c r="B23" s="87" t="s">
        <v>879</v>
      </c>
      <c r="C23" s="23"/>
    </row>
    <row r="24" spans="1:3" ht="12.75">
      <c r="A24" s="19" t="s">
        <v>492</v>
      </c>
      <c r="B24" s="87" t="s">
        <v>879</v>
      </c>
      <c r="C24" s="23" t="s">
        <v>510</v>
      </c>
    </row>
    <row r="25" spans="1:3" ht="12.75">
      <c r="A25" s="19" t="s">
        <v>424</v>
      </c>
      <c r="B25" s="87" t="s">
        <v>879</v>
      </c>
      <c r="C25" s="23"/>
    </row>
    <row r="26" spans="1:3" ht="12.75">
      <c r="A26" s="19" t="s">
        <v>493</v>
      </c>
      <c r="B26" s="87" t="s">
        <v>879</v>
      </c>
      <c r="C26" s="23" t="s">
        <v>423</v>
      </c>
    </row>
    <row r="27" spans="1:3" ht="12.75">
      <c r="A27" s="19" t="s">
        <v>425</v>
      </c>
      <c r="B27" s="87" t="s">
        <v>879</v>
      </c>
      <c r="C27" s="23"/>
    </row>
    <row r="28" spans="1:3" ht="12.75">
      <c r="A28" s="19" t="s">
        <v>507</v>
      </c>
      <c r="B28" s="87" t="s">
        <v>879</v>
      </c>
      <c r="C28" s="23" t="s">
        <v>510</v>
      </c>
    </row>
    <row r="29" spans="1:3" ht="12.75">
      <c r="A29" s="19" t="s">
        <v>505</v>
      </c>
      <c r="B29" s="87" t="s">
        <v>879</v>
      </c>
      <c r="C29" s="23"/>
    </row>
    <row r="30" spans="1:3" ht="12.75">
      <c r="A30" s="19" t="s">
        <v>426</v>
      </c>
      <c r="B30" s="87" t="s">
        <v>879</v>
      </c>
      <c r="C30" s="23" t="s">
        <v>427</v>
      </c>
    </row>
    <row r="31" spans="1:3" ht="12.75">
      <c r="A31" s="19" t="s">
        <v>428</v>
      </c>
      <c r="B31" s="87" t="s">
        <v>879</v>
      </c>
      <c r="C31" s="23" t="s">
        <v>510</v>
      </c>
    </row>
    <row r="32" spans="1:3" ht="12.75">
      <c r="A32" s="19" t="s">
        <v>429</v>
      </c>
      <c r="B32" s="87" t="s">
        <v>879</v>
      </c>
      <c r="C32" s="23"/>
    </row>
    <row r="33" spans="1:3" ht="12.75">
      <c r="A33" s="19" t="s">
        <v>430</v>
      </c>
      <c r="B33" s="87" t="s">
        <v>879</v>
      </c>
      <c r="C33" s="23"/>
    </row>
    <row r="34" spans="1:3" ht="12.75">
      <c r="A34" s="19" t="s">
        <v>495</v>
      </c>
      <c r="B34" s="87" t="s">
        <v>879</v>
      </c>
      <c r="C34" s="23" t="s">
        <v>510</v>
      </c>
    </row>
    <row r="35" spans="1:3" ht="12.75">
      <c r="A35" s="19" t="s">
        <v>506</v>
      </c>
      <c r="B35" s="87" t="s">
        <v>879</v>
      </c>
      <c r="C35" s="23" t="s">
        <v>431</v>
      </c>
    </row>
    <row r="36" spans="1:3" ht="12.75">
      <c r="A36" s="19" t="s">
        <v>498</v>
      </c>
      <c r="B36" s="87" t="s">
        <v>879</v>
      </c>
      <c r="C36" s="23" t="s">
        <v>510</v>
      </c>
    </row>
    <row r="37" spans="1:3" ht="12.75">
      <c r="A37" s="19" t="s">
        <v>499</v>
      </c>
      <c r="B37" s="87" t="s">
        <v>879</v>
      </c>
      <c r="C37" s="23" t="s">
        <v>1280</v>
      </c>
    </row>
    <row r="38" spans="1:3" ht="12.75">
      <c r="A38" s="19" t="s">
        <v>433</v>
      </c>
      <c r="B38" s="87" t="s">
        <v>879</v>
      </c>
      <c r="C38" s="23" t="s">
        <v>510</v>
      </c>
    </row>
    <row r="39" spans="1:3" ht="12.75">
      <c r="A39" s="19" t="s">
        <v>500</v>
      </c>
      <c r="B39" s="87" t="s">
        <v>879</v>
      </c>
      <c r="C39" s="23" t="s">
        <v>434</v>
      </c>
    </row>
    <row r="40" spans="1:3" ht="12.75">
      <c r="A40" s="19" t="s">
        <v>502</v>
      </c>
      <c r="B40" s="87" t="s">
        <v>879</v>
      </c>
      <c r="C40" s="23" t="s">
        <v>435</v>
      </c>
    </row>
    <row r="41" spans="1:3" ht="12.75">
      <c r="A41" s="19" t="s">
        <v>119</v>
      </c>
      <c r="B41" s="87" t="s">
        <v>879</v>
      </c>
      <c r="C41" s="23"/>
    </row>
    <row r="42" spans="1:3" ht="12.75">
      <c r="A42" s="19" t="s">
        <v>351</v>
      </c>
      <c r="B42" s="87" t="s">
        <v>879</v>
      </c>
      <c r="C42" s="23" t="s">
        <v>510</v>
      </c>
    </row>
    <row r="43" spans="1:3" ht="12.75">
      <c r="A43" s="19" t="s">
        <v>504</v>
      </c>
      <c r="B43" s="87" t="s">
        <v>879</v>
      </c>
      <c r="C43" s="23" t="s">
        <v>435</v>
      </c>
    </row>
    <row r="45" spans="1:3" ht="25.5">
      <c r="A45" s="76" t="s">
        <v>1252</v>
      </c>
      <c r="B45" s="74"/>
      <c r="C45" s="23" t="s">
        <v>510</v>
      </c>
    </row>
    <row r="46" spans="1:3" ht="25.5">
      <c r="A46" s="76" t="s">
        <v>1253</v>
      </c>
      <c r="B46" s="74"/>
      <c r="C46" s="23" t="s">
        <v>510</v>
      </c>
    </row>
    <row r="47" spans="1:3" ht="12.75">
      <c r="A47" s="76" t="s">
        <v>1254</v>
      </c>
      <c r="B47" s="74"/>
      <c r="C47" s="23" t="s">
        <v>510</v>
      </c>
    </row>
    <row r="48" spans="1:3" ht="38.25">
      <c r="A48" s="76" t="s">
        <v>1255</v>
      </c>
      <c r="B48" s="74"/>
      <c r="C48" s="23" t="s">
        <v>510</v>
      </c>
    </row>
    <row r="49" spans="1:3" ht="51">
      <c r="A49" s="76" t="s">
        <v>1256</v>
      </c>
      <c r="B49" s="74"/>
      <c r="C49" s="23" t="s">
        <v>510</v>
      </c>
    </row>
    <row r="50" spans="1:3" ht="51">
      <c r="A50" s="76" t="s">
        <v>1257</v>
      </c>
      <c r="B50" s="74"/>
      <c r="C50" s="23" t="s">
        <v>510</v>
      </c>
    </row>
    <row r="51" spans="1:3" ht="25.5">
      <c r="A51" s="76" t="s">
        <v>1258</v>
      </c>
      <c r="B51" s="74"/>
      <c r="C51" s="23"/>
    </row>
    <row r="53" spans="1:3" ht="12.75">
      <c r="A53" s="120" t="s">
        <v>154</v>
      </c>
      <c r="B53" s="120"/>
      <c r="C53" s="120"/>
    </row>
    <row r="54" spans="1:3" ht="12.75">
      <c r="A54" s="121"/>
      <c r="B54" s="122"/>
      <c r="C54" s="123"/>
    </row>
    <row r="55" spans="1:3" ht="12.75">
      <c r="A55" s="124"/>
      <c r="B55" s="125"/>
      <c r="C55" s="126"/>
    </row>
    <row r="56" spans="1:3" ht="12.75">
      <c r="A56" s="124"/>
      <c r="B56" s="125"/>
      <c r="C56" s="126"/>
    </row>
    <row r="57" spans="1:3" ht="12.75">
      <c r="A57" s="124"/>
      <c r="B57" s="125"/>
      <c r="C57" s="126"/>
    </row>
    <row r="58" spans="1:3" ht="12.75">
      <c r="A58" s="124"/>
      <c r="B58" s="125"/>
      <c r="C58" s="126"/>
    </row>
    <row r="59" spans="1:3" ht="12.75">
      <c r="A59" s="124"/>
      <c r="B59" s="125"/>
      <c r="C59" s="126"/>
    </row>
    <row r="60" spans="1:3" ht="12.75">
      <c r="A60" s="124"/>
      <c r="B60" s="125"/>
      <c r="C60" s="126"/>
    </row>
    <row r="61" spans="1:3" ht="12.75">
      <c r="A61" s="124"/>
      <c r="B61" s="125"/>
      <c r="C61" s="126"/>
    </row>
    <row r="62" spans="1:3" ht="12.75">
      <c r="A62" s="124"/>
      <c r="B62" s="125"/>
      <c r="C62" s="126"/>
    </row>
    <row r="63" spans="1:3" ht="12.75">
      <c r="A63" s="127"/>
      <c r="B63" s="128"/>
      <c r="C63" s="129"/>
    </row>
  </sheetData>
  <mergeCells count="2">
    <mergeCell ref="A53:C53"/>
    <mergeCell ref="A54:C63"/>
  </mergeCells>
  <dataValidations count="13">
    <dataValidation type="list" allowBlank="1" showInputMessage="1" showErrorMessage="1" sqref="B45:B50">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36 B38">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4">
      <formula1>CAPACITY_UOM</formula1>
    </dataValidation>
    <dataValidation errorStyle="warning" type="list" allowBlank="1" showInputMessage="1" showErrorMessage="1" sqref="B28">
      <formula1>DESIGN_PRESSURE_UOM</formula1>
    </dataValidation>
    <dataValidation errorStyle="warning" type="list" allowBlank="1" showInputMessage="1" showErrorMessage="1" sqref="B31">
      <formula1>DIAMETER_TYPE</formula1>
    </dataValidation>
    <dataValidation errorStyle="warning" type="list" allowBlank="1" showInputMessage="1" showErrorMessage="1" sqref="B34">
      <formula1>FLANGE_RATING_UOM</formula1>
    </dataValidation>
    <dataValidation errorStyle="warning" type="list" allowBlank="1" showInputMessage="1" showErrorMessage="1" sqref="B42">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4" r:id="rId3"/>
  <headerFooter alignWithMargins="0">
    <oddFooter>&amp;L&amp;F&amp;C&amp;P of &amp;N&amp;R&amp;A</oddFoot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E6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310</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420</v>
      </c>
      <c r="B21" s="87" t="s">
        <v>879</v>
      </c>
      <c r="C21" s="23"/>
    </row>
    <row r="22" spans="1:3" ht="12.75">
      <c r="A22" s="19" t="s">
        <v>421</v>
      </c>
      <c r="B22" s="87" t="s">
        <v>879</v>
      </c>
      <c r="C22" s="23"/>
    </row>
    <row r="23" spans="1:3" ht="12.75">
      <c r="A23" s="19" t="s">
        <v>422</v>
      </c>
      <c r="B23" s="87" t="s">
        <v>879</v>
      </c>
      <c r="C23" s="23"/>
    </row>
    <row r="24" spans="1:3" ht="12.75">
      <c r="A24" s="19" t="s">
        <v>492</v>
      </c>
      <c r="B24" s="87" t="s">
        <v>879</v>
      </c>
      <c r="C24" s="23" t="s">
        <v>510</v>
      </c>
    </row>
    <row r="25" spans="1:3" ht="12.75">
      <c r="A25" s="19" t="s">
        <v>424</v>
      </c>
      <c r="B25" s="87" t="s">
        <v>879</v>
      </c>
      <c r="C25" s="23"/>
    </row>
    <row r="26" spans="1:3" ht="12.75">
      <c r="A26" s="19" t="s">
        <v>493</v>
      </c>
      <c r="B26" s="87" t="s">
        <v>879</v>
      </c>
      <c r="C26" s="23" t="s">
        <v>423</v>
      </c>
    </row>
    <row r="27" spans="1:3" ht="12.75">
      <c r="A27" s="19" t="s">
        <v>436</v>
      </c>
      <c r="B27" s="87" t="s">
        <v>879</v>
      </c>
      <c r="C27" s="23" t="s">
        <v>510</v>
      </c>
    </row>
    <row r="28" spans="1:3" ht="12.75">
      <c r="A28" s="19" t="s">
        <v>426</v>
      </c>
      <c r="B28" s="87" t="s">
        <v>879</v>
      </c>
      <c r="C28" s="23" t="s">
        <v>427</v>
      </c>
    </row>
    <row r="29" spans="1:3" ht="12.75">
      <c r="A29" s="19" t="s">
        <v>428</v>
      </c>
      <c r="B29" s="87" t="s">
        <v>879</v>
      </c>
      <c r="C29" s="23" t="s">
        <v>510</v>
      </c>
    </row>
    <row r="30" spans="1:3" ht="12.75">
      <c r="A30" s="19" t="s">
        <v>430</v>
      </c>
      <c r="B30" s="87" t="s">
        <v>879</v>
      </c>
      <c r="C30" s="23"/>
    </row>
    <row r="31" spans="1:3" ht="12.75">
      <c r="A31" s="19" t="s">
        <v>495</v>
      </c>
      <c r="B31" s="87" t="s">
        <v>879</v>
      </c>
      <c r="C31" s="23" t="s">
        <v>510</v>
      </c>
    </row>
    <row r="32" spans="1:3" ht="12.75">
      <c r="A32" s="19" t="s">
        <v>506</v>
      </c>
      <c r="B32" s="87" t="s">
        <v>879</v>
      </c>
      <c r="C32" s="23" t="s">
        <v>431</v>
      </c>
    </row>
    <row r="33" spans="1:3" ht="12.75">
      <c r="A33" s="19" t="s">
        <v>498</v>
      </c>
      <c r="B33" s="87" t="s">
        <v>879</v>
      </c>
      <c r="C33" s="23" t="s">
        <v>510</v>
      </c>
    </row>
    <row r="34" spans="1:3" ht="12.75">
      <c r="A34" s="19" t="s">
        <v>437</v>
      </c>
      <c r="B34" s="87" t="s">
        <v>879</v>
      </c>
      <c r="C34" s="23"/>
    </row>
    <row r="35" spans="1:3" ht="12.75">
      <c r="A35" s="19" t="s">
        <v>508</v>
      </c>
      <c r="B35" s="87" t="s">
        <v>879</v>
      </c>
      <c r="C35" s="23"/>
    </row>
    <row r="36" spans="1:3" ht="12.75">
      <c r="A36" s="19" t="s">
        <v>499</v>
      </c>
      <c r="B36" s="87" t="s">
        <v>879</v>
      </c>
      <c r="C36" s="23" t="s">
        <v>1280</v>
      </c>
    </row>
    <row r="37" spans="1:3" ht="12.75">
      <c r="A37" s="19" t="s">
        <v>433</v>
      </c>
      <c r="B37" s="87" t="s">
        <v>879</v>
      </c>
      <c r="C37" s="23" t="s">
        <v>510</v>
      </c>
    </row>
    <row r="38" spans="1:3" ht="12.75">
      <c r="A38" s="19" t="s">
        <v>500</v>
      </c>
      <c r="B38" s="87" t="s">
        <v>879</v>
      </c>
      <c r="C38" s="23" t="s">
        <v>434</v>
      </c>
    </row>
    <row r="39" spans="1:3" ht="12.75">
      <c r="A39" s="19" t="s">
        <v>502</v>
      </c>
      <c r="B39" s="87" t="s">
        <v>879</v>
      </c>
      <c r="C39" s="23" t="s">
        <v>435</v>
      </c>
    </row>
    <row r="40" spans="1:3" ht="12.75">
      <c r="A40" s="19" t="s">
        <v>119</v>
      </c>
      <c r="B40" s="87" t="s">
        <v>879</v>
      </c>
      <c r="C40" s="23"/>
    </row>
    <row r="41" spans="1:3" ht="12.75">
      <c r="A41" s="19" t="s">
        <v>351</v>
      </c>
      <c r="B41" s="87" t="s">
        <v>879</v>
      </c>
      <c r="C41" s="23" t="s">
        <v>510</v>
      </c>
    </row>
    <row r="42" spans="1:3" ht="12.75">
      <c r="A42" s="19" t="s">
        <v>504</v>
      </c>
      <c r="B42" s="87" t="s">
        <v>879</v>
      </c>
      <c r="C42" s="23" t="s">
        <v>435</v>
      </c>
    </row>
    <row r="44" spans="1:3" ht="25.5">
      <c r="A44" s="76" t="s">
        <v>1252</v>
      </c>
      <c r="B44" s="74"/>
      <c r="C44" s="23" t="s">
        <v>510</v>
      </c>
    </row>
    <row r="45" spans="1:3" ht="25.5">
      <c r="A45" s="76" t="s">
        <v>1253</v>
      </c>
      <c r="B45" s="74"/>
      <c r="C45" s="23" t="s">
        <v>510</v>
      </c>
    </row>
    <row r="46" spans="1:3" ht="12.75">
      <c r="A46" s="76" t="s">
        <v>1254</v>
      </c>
      <c r="B46" s="74"/>
      <c r="C46" s="23" t="s">
        <v>510</v>
      </c>
    </row>
    <row r="47" spans="1:3" ht="38.25">
      <c r="A47" s="76" t="s">
        <v>1255</v>
      </c>
      <c r="B47" s="74"/>
      <c r="C47" s="23" t="s">
        <v>510</v>
      </c>
    </row>
    <row r="48" spans="1:3" ht="51">
      <c r="A48" s="76" t="s">
        <v>1256</v>
      </c>
      <c r="B48" s="74"/>
      <c r="C48" s="23" t="s">
        <v>510</v>
      </c>
    </row>
    <row r="49" spans="1:3" ht="51">
      <c r="A49" s="76" t="s">
        <v>1257</v>
      </c>
      <c r="B49" s="74"/>
      <c r="C49" s="23" t="s">
        <v>510</v>
      </c>
    </row>
    <row r="50" spans="1:3" ht="25.5">
      <c r="A50" s="76" t="s">
        <v>1258</v>
      </c>
      <c r="B50" s="74"/>
      <c r="C50" s="23"/>
    </row>
    <row r="52" spans="1:3" ht="12.75">
      <c r="A52" s="120" t="s">
        <v>154</v>
      </c>
      <c r="B52" s="120"/>
      <c r="C52" s="120"/>
    </row>
    <row r="53" spans="1:3" ht="12.75">
      <c r="A53" s="121"/>
      <c r="B53" s="122"/>
      <c r="C53" s="123"/>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4"/>
      <c r="B58" s="125"/>
      <c r="C58" s="126"/>
    </row>
    <row r="59" spans="1:3" ht="12.75">
      <c r="A59" s="124"/>
      <c r="B59" s="125"/>
      <c r="C59" s="126"/>
    </row>
    <row r="60" spans="1:3" ht="12.75">
      <c r="A60" s="124"/>
      <c r="B60" s="125"/>
      <c r="C60" s="126"/>
    </row>
    <row r="61" spans="1:3" ht="12.75">
      <c r="A61" s="124"/>
      <c r="B61" s="125"/>
      <c r="C61" s="126"/>
    </row>
    <row r="62" spans="1:3" ht="12.75">
      <c r="A62" s="127"/>
      <c r="B62" s="128"/>
      <c r="C62" s="129"/>
    </row>
  </sheetData>
  <mergeCells count="2">
    <mergeCell ref="A52:C52"/>
    <mergeCell ref="A53:C62"/>
  </mergeCells>
  <dataValidations count="14">
    <dataValidation type="list" allowBlank="1" showInputMessage="1" showErrorMessage="1" sqref="B44:B49">
      <formula1>YES_NO</formula1>
    </dataValidation>
    <dataValidation errorStyle="warning" type="list" allowBlank="1" showInputMessage="1" showErrorMessage="1" sqref="B13">
      <formula1>STATUS</formula1>
    </dataValidation>
    <dataValidation errorStyle="warning" type="list" allowBlank="1" showInputMessage="1" showErrorMessage="1" sqref="B33">
      <formula1>YES_NO</formula1>
    </dataValidation>
    <dataValidation errorStyle="warning" type="list" allowBlank="1" showInputMessage="1" showErrorMessage="1" sqref="B10">
      <formula1>Process</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5">
      <formula1>Maintenance_Plant</formula1>
    </dataValidation>
    <dataValidation errorStyle="warning" type="list" allowBlank="1" showInputMessage="1" showErrorMessage="1" sqref="B24">
      <formula1>CAPACITY_UOM</formula1>
    </dataValidation>
    <dataValidation errorStyle="warning" type="list" allowBlank="1" showInputMessage="1" showErrorMessage="1" sqref="B27">
      <formula1>DEMISTER_PAD</formula1>
    </dataValidation>
    <dataValidation errorStyle="warning" type="list" allowBlank="1" showInputMessage="1" showErrorMessage="1" sqref="B29">
      <formula1>DIAMETER_TYPE</formula1>
    </dataValidation>
    <dataValidation errorStyle="warning" type="list" allowBlank="1" showInputMessage="1" showErrorMessage="1" sqref="B31">
      <formula1>FLANGE_RATING_UOM</formula1>
    </dataValidation>
    <dataValidation errorStyle="warning" type="list" allowBlank="1" showInputMessage="1" showErrorMessage="1" sqref="B37">
      <formula1>MANWAY</formula1>
    </dataValidation>
    <dataValidation errorStyle="warning" type="list" allowBlank="1" showInputMessage="1" showErrorMessage="1" sqref="B41">
      <formula1>SERVICE_MEDIUM_2</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5" r:id="rId3"/>
  <headerFooter alignWithMargins="0">
    <oddFooter>&amp;L&amp;F&amp;C&amp;P of &amp;N&amp;R&amp;A</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E6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309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420</v>
      </c>
      <c r="B21" s="87" t="s">
        <v>879</v>
      </c>
      <c r="C21" s="23"/>
    </row>
    <row r="22" spans="1:3" ht="12.75">
      <c r="A22" s="19" t="s">
        <v>421</v>
      </c>
      <c r="B22" s="87" t="s">
        <v>879</v>
      </c>
      <c r="C22" s="23"/>
    </row>
    <row r="23" spans="1:3" ht="12.75">
      <c r="A23" s="19" t="s">
        <v>422</v>
      </c>
      <c r="B23" s="87" t="s">
        <v>879</v>
      </c>
      <c r="C23" s="23"/>
    </row>
    <row r="24" spans="1:3" ht="12.75">
      <c r="A24" s="19" t="s">
        <v>492</v>
      </c>
      <c r="B24" s="87" t="s">
        <v>879</v>
      </c>
      <c r="C24" s="23" t="s">
        <v>510</v>
      </c>
    </row>
    <row r="25" spans="1:3" ht="12.75">
      <c r="A25" s="19" t="s">
        <v>424</v>
      </c>
      <c r="B25" s="87" t="s">
        <v>879</v>
      </c>
      <c r="C25" s="23"/>
    </row>
    <row r="26" spans="1:3" ht="12.75">
      <c r="A26" s="19" t="s">
        <v>493</v>
      </c>
      <c r="B26" s="87" t="s">
        <v>879</v>
      </c>
      <c r="C26" s="23" t="s">
        <v>423</v>
      </c>
    </row>
    <row r="27" spans="1:3" ht="12.75">
      <c r="A27" s="19" t="s">
        <v>436</v>
      </c>
      <c r="B27" s="87" t="s">
        <v>879</v>
      </c>
      <c r="C27" s="23" t="s">
        <v>510</v>
      </c>
    </row>
    <row r="28" spans="1:3" ht="12.75">
      <c r="A28" s="19" t="s">
        <v>426</v>
      </c>
      <c r="B28" s="87" t="s">
        <v>879</v>
      </c>
      <c r="C28" s="23" t="s">
        <v>427</v>
      </c>
    </row>
    <row r="29" spans="1:3" ht="12.75">
      <c r="A29" s="19" t="s">
        <v>428</v>
      </c>
      <c r="B29" s="87" t="s">
        <v>879</v>
      </c>
      <c r="C29" s="23" t="s">
        <v>510</v>
      </c>
    </row>
    <row r="30" spans="1:3" ht="12.75">
      <c r="A30" s="19" t="s">
        <v>430</v>
      </c>
      <c r="B30" s="87" t="s">
        <v>879</v>
      </c>
      <c r="C30" s="23"/>
    </row>
    <row r="31" spans="1:3" ht="12.75">
      <c r="A31" s="19" t="s">
        <v>495</v>
      </c>
      <c r="B31" s="87" t="s">
        <v>879</v>
      </c>
      <c r="C31" s="23" t="s">
        <v>510</v>
      </c>
    </row>
    <row r="32" spans="1:3" ht="12.75">
      <c r="A32" s="19" t="s">
        <v>506</v>
      </c>
      <c r="B32" s="87" t="s">
        <v>879</v>
      </c>
      <c r="C32" s="23" t="s">
        <v>431</v>
      </c>
    </row>
    <row r="33" spans="1:3" ht="12.75">
      <c r="A33" s="19" t="s">
        <v>498</v>
      </c>
      <c r="B33" s="87" t="s">
        <v>879</v>
      </c>
      <c r="C33" s="23" t="s">
        <v>510</v>
      </c>
    </row>
    <row r="34" spans="1:3" ht="12.75">
      <c r="A34" s="19" t="s">
        <v>437</v>
      </c>
      <c r="B34" s="87" t="s">
        <v>879</v>
      </c>
      <c r="C34" s="23"/>
    </row>
    <row r="35" spans="1:3" ht="12.75">
      <c r="A35" s="19" t="s">
        <v>499</v>
      </c>
      <c r="B35" s="87" t="s">
        <v>879</v>
      </c>
      <c r="C35" s="23" t="s">
        <v>1280</v>
      </c>
    </row>
    <row r="36" spans="1:3" ht="12.75">
      <c r="A36" s="19" t="s">
        <v>433</v>
      </c>
      <c r="B36" s="87" t="s">
        <v>879</v>
      </c>
      <c r="C36" s="23" t="s">
        <v>510</v>
      </c>
    </row>
    <row r="37" spans="1:3" ht="12.75">
      <c r="A37" s="19" t="s">
        <v>500</v>
      </c>
      <c r="B37" s="87" t="s">
        <v>879</v>
      </c>
      <c r="C37" s="23" t="s">
        <v>434</v>
      </c>
    </row>
    <row r="38" spans="1:3" ht="12.75">
      <c r="A38" s="19" t="s">
        <v>502</v>
      </c>
      <c r="B38" s="87" t="s">
        <v>879</v>
      </c>
      <c r="C38" s="23" t="s">
        <v>435</v>
      </c>
    </row>
    <row r="39" spans="1:3" ht="12.75">
      <c r="A39" s="19" t="s">
        <v>119</v>
      </c>
      <c r="B39" s="87" t="s">
        <v>879</v>
      </c>
      <c r="C39" s="23"/>
    </row>
    <row r="40" spans="1:3" ht="12.75">
      <c r="A40" s="19" t="s">
        <v>351</v>
      </c>
      <c r="B40" s="87" t="s">
        <v>879</v>
      </c>
      <c r="C40" s="23" t="s">
        <v>510</v>
      </c>
    </row>
    <row r="41" spans="1:3" ht="12.75">
      <c r="A41" s="19" t="s">
        <v>504</v>
      </c>
      <c r="B41" s="87" t="s">
        <v>879</v>
      </c>
      <c r="C41" s="23" t="s">
        <v>435</v>
      </c>
    </row>
    <row r="43" spans="1:3" ht="25.5">
      <c r="A43" s="76" t="s">
        <v>1252</v>
      </c>
      <c r="B43" s="74"/>
      <c r="C43" s="23" t="s">
        <v>510</v>
      </c>
    </row>
    <row r="44" spans="1:3" ht="25.5">
      <c r="A44" s="76" t="s">
        <v>1253</v>
      </c>
      <c r="B44" s="74"/>
      <c r="C44" s="23" t="s">
        <v>510</v>
      </c>
    </row>
    <row r="45" spans="1:3" ht="12.75">
      <c r="A45" s="76" t="s">
        <v>1254</v>
      </c>
      <c r="B45" s="74"/>
      <c r="C45" s="23" t="s">
        <v>510</v>
      </c>
    </row>
    <row r="46" spans="1:3" ht="38.25">
      <c r="A46" s="76" t="s">
        <v>1255</v>
      </c>
      <c r="B46" s="74"/>
      <c r="C46" s="23" t="s">
        <v>510</v>
      </c>
    </row>
    <row r="47" spans="1:3" ht="51">
      <c r="A47" s="76" t="s">
        <v>1256</v>
      </c>
      <c r="B47" s="74"/>
      <c r="C47" s="23" t="s">
        <v>510</v>
      </c>
    </row>
    <row r="48" spans="1:3" ht="51">
      <c r="A48" s="76" t="s">
        <v>1257</v>
      </c>
      <c r="B48" s="74"/>
      <c r="C48" s="23" t="s">
        <v>510</v>
      </c>
    </row>
    <row r="49" spans="1:3" ht="25.5">
      <c r="A49" s="76" t="s">
        <v>1258</v>
      </c>
      <c r="B49" s="74"/>
      <c r="C49" s="23"/>
    </row>
    <row r="51" spans="1:3" ht="12.75">
      <c r="A51" s="120" t="s">
        <v>154</v>
      </c>
      <c r="B51" s="120"/>
      <c r="C51" s="120"/>
    </row>
    <row r="52" spans="1:3" ht="12.75">
      <c r="A52" s="121"/>
      <c r="B52" s="122"/>
      <c r="C52" s="123"/>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4"/>
      <c r="B58" s="125"/>
      <c r="C58" s="126"/>
    </row>
    <row r="59" spans="1:3" ht="12.75">
      <c r="A59" s="124"/>
      <c r="B59" s="125"/>
      <c r="C59" s="126"/>
    </row>
    <row r="60" spans="1:3" ht="12.75">
      <c r="A60" s="124"/>
      <c r="B60" s="125"/>
      <c r="C60" s="126"/>
    </row>
    <row r="61" spans="1:3" ht="12.75">
      <c r="A61" s="127"/>
      <c r="B61" s="128"/>
      <c r="C61" s="129"/>
    </row>
  </sheetData>
  <mergeCells count="2">
    <mergeCell ref="A51:C51"/>
    <mergeCell ref="A52:C61"/>
  </mergeCells>
  <dataValidations count="13">
    <dataValidation type="list" allowBlank="1" showInputMessage="1" showErrorMessage="1" sqref="B43:B48">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33 B36">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4">
      <formula1>CAPACITY_UOM</formula1>
    </dataValidation>
    <dataValidation errorStyle="warning" type="list" allowBlank="1" showInputMessage="1" showErrorMessage="1" sqref="B27">
      <formula1>DEMISTER_PAD</formula1>
    </dataValidation>
    <dataValidation errorStyle="warning" type="list" allowBlank="1" showInputMessage="1" showErrorMessage="1" sqref="B29">
      <formula1>DIAMETER_TYPE</formula1>
    </dataValidation>
    <dataValidation errorStyle="warning" type="list" allowBlank="1" showInputMessage="1" showErrorMessage="1" sqref="B31">
      <formula1>FLANGE_RATING_UOM</formula1>
    </dataValidation>
    <dataValidation errorStyle="warning" type="list" allowBlank="1" showInputMessage="1" showErrorMessage="1" sqref="B40">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6" r:id="rId3"/>
  <headerFooter alignWithMargins="0">
    <oddFooter>&amp;L&amp;F&amp;C&amp;P of &amp;N&amp;R&amp;A</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F60"/>
  <sheetViews>
    <sheetView workbookViewId="0" topLeftCell="A1">
      <pane xSplit="1" ySplit="1" topLeftCell="C2" activePane="bottomRight" state="frozen"/>
      <selection pane="topLeft" activeCell="A1" sqref="A1"/>
      <selection pane="topRight" activeCell="B1" sqref="B1"/>
      <selection pane="bottomLeft" activeCell="A2" sqref="A2"/>
      <selection pane="bottomRight" activeCell="C2" sqref="C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v>10713086</v>
      </c>
      <c r="C2" s="3">
        <v>10712945</v>
      </c>
      <c r="D2" s="72"/>
      <c r="F2" s="84" t="s">
        <v>1334</v>
      </c>
    </row>
    <row r="3" spans="1:4" ht="12.75">
      <c r="A3" s="72" t="s">
        <v>4</v>
      </c>
      <c r="B3" s="4" t="s">
        <v>230</v>
      </c>
      <c r="C3" s="4" t="s">
        <v>230</v>
      </c>
      <c r="D3" s="23" t="s">
        <v>510</v>
      </c>
    </row>
    <row r="4" spans="1:6" ht="12.75">
      <c r="A4" s="72" t="s">
        <v>6</v>
      </c>
      <c r="B4" s="4" t="s">
        <v>1344</v>
      </c>
      <c r="C4" s="4" t="s">
        <v>1344</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VCCF008230</v>
      </c>
      <c r="C11" s="2" t="str">
        <f t="shared" si="0"/>
        <v>VCCF008230</v>
      </c>
      <c r="D11" s="72"/>
    </row>
    <row r="12" spans="1:4" ht="12.75">
      <c r="A12" s="72" t="s">
        <v>13</v>
      </c>
      <c r="B12" s="3">
        <v>11671798</v>
      </c>
      <c r="C12" s="3">
        <v>11671798</v>
      </c>
      <c r="D12" s="72"/>
    </row>
    <row r="13" spans="1:4" ht="12.75">
      <c r="A13" s="72" t="s">
        <v>491</v>
      </c>
      <c r="B13" s="4" t="str">
        <f>+'9707 Compressor Pkg'!B13</f>
        <v>INAC-Suspended, Shut-in</v>
      </c>
      <c r="C13" s="4" t="str">
        <f>+B13</f>
        <v>INAC-Suspended, Shut-in</v>
      </c>
      <c r="D13" s="23" t="s">
        <v>510</v>
      </c>
    </row>
    <row r="14" spans="1:4" ht="12.75">
      <c r="A14" s="72" t="s">
        <v>14</v>
      </c>
      <c r="B14" s="2" t="s">
        <v>1345</v>
      </c>
      <c r="C14" s="2" t="s">
        <v>1345</v>
      </c>
      <c r="D14" s="72"/>
    </row>
    <row r="15" spans="1:4" ht="12.75">
      <c r="A15" s="72" t="s">
        <v>15</v>
      </c>
      <c r="B15" s="2" t="s">
        <v>1346</v>
      </c>
      <c r="C15" s="2" t="s">
        <v>1346</v>
      </c>
      <c r="D15" s="72"/>
    </row>
    <row r="16" spans="1:4" ht="12.75">
      <c r="A16" s="72" t="s">
        <v>16</v>
      </c>
      <c r="B16" s="73" t="s">
        <v>1347</v>
      </c>
      <c r="C16" s="73" t="s">
        <v>1349</v>
      </c>
      <c r="D16" s="72"/>
    </row>
    <row r="17" spans="1:4" ht="12.75">
      <c r="A17" s="72" t="s">
        <v>17</v>
      </c>
      <c r="B17" s="91">
        <v>885243.2</v>
      </c>
      <c r="C17" s="91">
        <v>885243.3</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28</v>
      </c>
      <c r="C20" s="87" t="s">
        <v>28</v>
      </c>
      <c r="D20" s="23" t="s">
        <v>510</v>
      </c>
    </row>
    <row r="21" spans="1:4" ht="12.75">
      <c r="A21" s="19" t="s">
        <v>420</v>
      </c>
      <c r="B21" s="87" t="s">
        <v>879</v>
      </c>
      <c r="C21" s="87" t="s">
        <v>879</v>
      </c>
      <c r="D21" s="5"/>
    </row>
    <row r="22" spans="1:4" ht="12.75">
      <c r="A22" s="19" t="s">
        <v>421</v>
      </c>
      <c r="B22" s="87" t="s">
        <v>879</v>
      </c>
      <c r="C22" s="87" t="s">
        <v>879</v>
      </c>
      <c r="D22" s="5"/>
    </row>
    <row r="23" spans="1:4" ht="12.75">
      <c r="A23" s="19" t="s">
        <v>454</v>
      </c>
      <c r="B23" s="87" t="s">
        <v>879</v>
      </c>
      <c r="C23" s="87" t="s">
        <v>879</v>
      </c>
      <c r="D23" s="5"/>
    </row>
    <row r="24" spans="1:4" ht="12.75">
      <c r="A24" s="19" t="s">
        <v>455</v>
      </c>
      <c r="B24" s="87" t="s">
        <v>879</v>
      </c>
      <c r="C24" s="87" t="s">
        <v>879</v>
      </c>
      <c r="D24" s="23" t="s">
        <v>510</v>
      </c>
    </row>
    <row r="25" spans="1:4" ht="12.75">
      <c r="A25" s="19" t="s">
        <v>424</v>
      </c>
      <c r="B25" s="107" t="s">
        <v>1348</v>
      </c>
      <c r="C25" s="107" t="s">
        <v>1350</v>
      </c>
      <c r="D25" s="5"/>
    </row>
    <row r="26" spans="1:4" ht="12.75">
      <c r="A26" s="19" t="s">
        <v>493</v>
      </c>
      <c r="B26" s="87" t="s">
        <v>879</v>
      </c>
      <c r="C26" s="87" t="s">
        <v>879</v>
      </c>
      <c r="D26" s="5" t="s">
        <v>423</v>
      </c>
    </row>
    <row r="27" spans="1:4" ht="12.75">
      <c r="A27" s="19" t="s">
        <v>456</v>
      </c>
      <c r="B27" s="87" t="s">
        <v>879</v>
      </c>
      <c r="C27" s="87" t="s">
        <v>879</v>
      </c>
      <c r="D27" s="5"/>
    </row>
    <row r="28" spans="1:4" ht="12.75">
      <c r="A28" s="19" t="s">
        <v>457</v>
      </c>
      <c r="B28" s="87" t="s">
        <v>879</v>
      </c>
      <c r="C28" s="87" t="s">
        <v>879</v>
      </c>
      <c r="D28" s="23"/>
    </row>
    <row r="29" spans="1:4" ht="12.75">
      <c r="A29" s="19" t="s">
        <v>458</v>
      </c>
      <c r="B29" s="87" t="s">
        <v>879</v>
      </c>
      <c r="C29" s="87" t="s">
        <v>879</v>
      </c>
      <c r="D29" s="23"/>
    </row>
    <row r="30" spans="1:4" ht="12.75">
      <c r="A30" s="19" t="s">
        <v>430</v>
      </c>
      <c r="B30" s="87" t="s">
        <v>879</v>
      </c>
      <c r="C30" s="87" t="s">
        <v>879</v>
      </c>
      <c r="D30" s="23"/>
    </row>
    <row r="31" spans="1:4" ht="12.75">
      <c r="A31" s="19" t="s">
        <v>495</v>
      </c>
      <c r="B31" s="87" t="s">
        <v>879</v>
      </c>
      <c r="C31" s="87" t="s">
        <v>879</v>
      </c>
      <c r="D31" s="23" t="s">
        <v>510</v>
      </c>
    </row>
    <row r="32" spans="1:4" ht="12.75">
      <c r="A32" s="19" t="s">
        <v>498</v>
      </c>
      <c r="B32" s="87" t="s">
        <v>879</v>
      </c>
      <c r="C32" s="87" t="s">
        <v>879</v>
      </c>
      <c r="D32" s="23" t="s">
        <v>510</v>
      </c>
    </row>
    <row r="33" spans="1:4" ht="12.75">
      <c r="A33" s="19" t="s">
        <v>459</v>
      </c>
      <c r="B33" s="87" t="s">
        <v>879</v>
      </c>
      <c r="C33" s="87" t="s">
        <v>879</v>
      </c>
      <c r="D33" s="5"/>
    </row>
    <row r="34" spans="1:4" ht="12.75">
      <c r="A34" s="19" t="s">
        <v>460</v>
      </c>
      <c r="B34" s="87" t="s">
        <v>879</v>
      </c>
      <c r="C34" s="87" t="s">
        <v>879</v>
      </c>
      <c r="D34" s="23" t="s">
        <v>510</v>
      </c>
    </row>
    <row r="35" spans="1:4" ht="12.75">
      <c r="A35" s="19" t="s">
        <v>419</v>
      </c>
      <c r="B35" s="87" t="s">
        <v>879</v>
      </c>
      <c r="C35" s="87" t="s">
        <v>879</v>
      </c>
      <c r="D35" s="23"/>
    </row>
    <row r="36" spans="1:4" ht="12.75">
      <c r="A36" s="19" t="s">
        <v>461</v>
      </c>
      <c r="B36" s="87" t="s">
        <v>879</v>
      </c>
      <c r="C36" s="87" t="s">
        <v>879</v>
      </c>
      <c r="D36" s="23"/>
    </row>
    <row r="37" spans="1:4" ht="12.75">
      <c r="A37" s="19" t="s">
        <v>462</v>
      </c>
      <c r="B37" s="87" t="s">
        <v>879</v>
      </c>
      <c r="C37" s="87" t="s">
        <v>879</v>
      </c>
      <c r="D37" s="23"/>
    </row>
    <row r="38" spans="1:4" ht="12.75">
      <c r="A38" s="19" t="s">
        <v>463</v>
      </c>
      <c r="B38" s="87" t="s">
        <v>879</v>
      </c>
      <c r="C38" s="87" t="s">
        <v>879</v>
      </c>
      <c r="D38" s="5"/>
    </row>
    <row r="39" spans="1:4" ht="12.75">
      <c r="A39" s="19" t="s">
        <v>119</v>
      </c>
      <c r="B39" s="107" t="s">
        <v>1337</v>
      </c>
      <c r="C39" s="107" t="s">
        <v>1351</v>
      </c>
      <c r="D39" s="23"/>
    </row>
    <row r="40" spans="1:4" ht="12.75">
      <c r="A40" s="19" t="s">
        <v>351</v>
      </c>
      <c r="B40" s="87" t="s">
        <v>790</v>
      </c>
      <c r="C40" s="87" t="s">
        <v>790</v>
      </c>
      <c r="D40" s="23" t="s">
        <v>510</v>
      </c>
    </row>
    <row r="42" spans="1:4" ht="25.5">
      <c r="A42" s="76" t="s">
        <v>1252</v>
      </c>
      <c r="B42" s="74"/>
      <c r="C42" s="74"/>
      <c r="D42" s="23" t="s">
        <v>510</v>
      </c>
    </row>
    <row r="43" spans="1:4" ht="25.5">
      <c r="A43" s="76" t="s">
        <v>1253</v>
      </c>
      <c r="B43" s="74"/>
      <c r="C43" s="74"/>
      <c r="D43" s="23" t="s">
        <v>510</v>
      </c>
    </row>
    <row r="44" spans="1:4" ht="12.75">
      <c r="A44" s="76" t="s">
        <v>1254</v>
      </c>
      <c r="B44" s="74"/>
      <c r="C44" s="74"/>
      <c r="D44" s="23" t="s">
        <v>510</v>
      </c>
    </row>
    <row r="45" spans="1:4" ht="38.25">
      <c r="A45" s="76" t="s">
        <v>1255</v>
      </c>
      <c r="B45" s="74"/>
      <c r="C45" s="74"/>
      <c r="D45" s="23" t="s">
        <v>510</v>
      </c>
    </row>
    <row r="46" spans="1:4" ht="51">
      <c r="A46" s="76" t="s">
        <v>1256</v>
      </c>
      <c r="B46" s="74"/>
      <c r="C46" s="74"/>
      <c r="D46" s="23" t="s">
        <v>510</v>
      </c>
    </row>
    <row r="47" spans="1:4" ht="51">
      <c r="A47" s="76" t="s">
        <v>1257</v>
      </c>
      <c r="B47" s="74"/>
      <c r="C47" s="74"/>
      <c r="D47" s="23" t="s">
        <v>510</v>
      </c>
    </row>
    <row r="48" spans="1:4" ht="25.5">
      <c r="A48" s="76" t="s">
        <v>1258</v>
      </c>
      <c r="B48" s="74"/>
      <c r="C48" s="74"/>
      <c r="D48" s="23"/>
    </row>
    <row r="49" ht="12.75">
      <c r="C49" s="1"/>
    </row>
    <row r="50" spans="1:4" ht="12.75">
      <c r="A50" s="120" t="s">
        <v>154</v>
      </c>
      <c r="B50" s="120"/>
      <c r="C50" s="120"/>
      <c r="D50" s="120"/>
    </row>
    <row r="51" spans="1:4" ht="12.75">
      <c r="A51" s="121"/>
      <c r="B51" s="130"/>
      <c r="C51" s="122"/>
      <c r="D51" s="123"/>
    </row>
    <row r="52" spans="1:4" ht="12.75">
      <c r="A52" s="124"/>
      <c r="B52" s="125"/>
      <c r="C52" s="125"/>
      <c r="D52" s="126"/>
    </row>
    <row r="53" spans="1:4" ht="12.75">
      <c r="A53" s="124"/>
      <c r="B53" s="125"/>
      <c r="C53" s="125"/>
      <c r="D53" s="126"/>
    </row>
    <row r="54" spans="1:4" ht="12.75">
      <c r="A54" s="124"/>
      <c r="B54" s="125"/>
      <c r="C54" s="125"/>
      <c r="D54" s="126"/>
    </row>
    <row r="55" spans="1:4" ht="12.75">
      <c r="A55" s="124"/>
      <c r="B55" s="125"/>
      <c r="C55" s="125"/>
      <c r="D55" s="126"/>
    </row>
    <row r="56" spans="1:4" ht="12.75">
      <c r="A56" s="124"/>
      <c r="B56" s="125"/>
      <c r="C56" s="125"/>
      <c r="D56" s="126"/>
    </row>
    <row r="57" spans="1:4" ht="12.75">
      <c r="A57" s="124"/>
      <c r="B57" s="125"/>
      <c r="C57" s="125"/>
      <c r="D57" s="126"/>
    </row>
    <row r="58" spans="1:4" ht="12.75">
      <c r="A58" s="124"/>
      <c r="B58" s="125"/>
      <c r="C58" s="125"/>
      <c r="D58" s="126"/>
    </row>
    <row r="59" spans="1:4" ht="12.75">
      <c r="A59" s="124"/>
      <c r="B59" s="125"/>
      <c r="C59" s="125"/>
      <c r="D59" s="126"/>
    </row>
    <row r="60" spans="1:4" ht="12.75">
      <c r="A60" s="127"/>
      <c r="B60" s="128"/>
      <c r="C60" s="128"/>
      <c r="D60" s="129"/>
    </row>
  </sheetData>
  <mergeCells count="2">
    <mergeCell ref="A50:D50"/>
    <mergeCell ref="A51:D60"/>
  </mergeCells>
  <dataValidations count="11">
    <dataValidation type="list" allowBlank="1" showInputMessage="1" showErrorMessage="1" sqref="B42:C47">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errorStyle="warning" type="list" allowBlank="1" showInputMessage="1" showErrorMessage="1" sqref="B40:C40">
      <formula1>SERVICE_MEDIUM_2</formula1>
    </dataValidation>
    <dataValidation errorStyle="warning" type="list" allowBlank="1" showInputMessage="1" showErrorMessage="1" sqref="B31:C31">
      <formula1>FLANGE_RATING_UOM</formula1>
    </dataValidation>
    <dataValidation errorStyle="warning" type="list" allowBlank="1" showInputMessage="1" showErrorMessage="1" sqref="B24:C24 B32:C32 B34:C34">
      <formula1>YES_NO</formula1>
    </dataValidation>
    <dataValidation errorStyle="warning" type="list" allowBlank="1" showInputMessage="1" showErrorMessage="1" sqref="B20:C20">
      <formula1>Controllable_Asset_Indicator</formula1>
    </dataValidation>
    <dataValidation allowBlank="1" showInputMessage="1" showErrorMessage="1" sqref="B14:C19"/>
  </dataValidations>
  <hyperlinks>
    <hyperlink ref="F4" location="ca_9707" display="Home Pkg Page"/>
  </hyperlinks>
  <printOptions horizontalCentered="1"/>
  <pageMargins left="0.75" right="0.75" top="0.5" bottom="1" header="0.25" footer="0.5"/>
  <pageSetup fitToHeight="1" fitToWidth="1" horizontalDpi="600" verticalDpi="600" orientation="portrait" scale="63" r:id="rId3"/>
  <headerFooter alignWithMargins="0">
    <oddFooter>&amp;L&amp;F&amp;C&amp;P of &amp;N&amp;R&amp;A</oddFoot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E4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v>10711619</v>
      </c>
      <c r="C2" s="72"/>
      <c r="E2" s="84" t="s">
        <v>1334</v>
      </c>
    </row>
    <row r="3" spans="1:3" ht="12.75">
      <c r="A3" s="72" t="s">
        <v>4</v>
      </c>
      <c r="B3" s="4" t="s">
        <v>171</v>
      </c>
      <c r="C3" s="23"/>
    </row>
    <row r="4" spans="1:5" ht="12.75">
      <c r="A4" s="72" t="s">
        <v>6</v>
      </c>
      <c r="B4" s="4" t="s">
        <v>962</v>
      </c>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v>11671798</v>
      </c>
      <c r="C12" s="72"/>
    </row>
    <row r="13" spans="1:3" ht="12.75">
      <c r="A13" s="72" t="s">
        <v>491</v>
      </c>
      <c r="B13" s="4" t="str">
        <f>+'9707 Compressor Pkg'!B13</f>
        <v>INAC-Suspended, Shut-in</v>
      </c>
      <c r="C13" s="23" t="s">
        <v>510</v>
      </c>
    </row>
    <row r="14" spans="1:3" ht="12.75">
      <c r="A14" s="72" t="s">
        <v>14</v>
      </c>
      <c r="B14" s="2" t="s">
        <v>1352</v>
      </c>
      <c r="C14" s="72"/>
    </row>
    <row r="15" spans="1:3" ht="12.75">
      <c r="A15" s="72" t="s">
        <v>15</v>
      </c>
      <c r="B15" s="89">
        <v>650127</v>
      </c>
      <c r="C15" s="72"/>
    </row>
    <row r="16" spans="1:3" ht="12.75">
      <c r="A16" s="72" t="s">
        <v>16</v>
      </c>
      <c r="B16" s="90" t="s">
        <v>879</v>
      </c>
      <c r="C16" s="72"/>
    </row>
    <row r="17" spans="1:3" ht="12.75">
      <c r="A17" s="72" t="s">
        <v>17</v>
      </c>
      <c r="B17" s="74" t="s">
        <v>1360</v>
      </c>
      <c r="C17" s="72"/>
    </row>
    <row r="18" spans="1:3" ht="12.75">
      <c r="A18" s="72" t="s">
        <v>88</v>
      </c>
      <c r="B18" s="90" t="s">
        <v>879</v>
      </c>
      <c r="C18" s="72"/>
    </row>
    <row r="19" spans="1:3" ht="12.75">
      <c r="A19" s="72" t="s">
        <v>93</v>
      </c>
      <c r="B19" s="90" t="s">
        <v>879</v>
      </c>
      <c r="C19" s="72"/>
    </row>
    <row r="20" spans="1:3" ht="12.75">
      <c r="A20" s="5" t="s">
        <v>19</v>
      </c>
      <c r="B20" s="87" t="s">
        <v>28</v>
      </c>
      <c r="C20" s="23" t="s">
        <v>510</v>
      </c>
    </row>
    <row r="21" spans="1:3" ht="12.75">
      <c r="A21" s="5" t="s">
        <v>119</v>
      </c>
      <c r="B21" s="107" t="s">
        <v>1337</v>
      </c>
      <c r="C21" s="23"/>
    </row>
    <row r="22" spans="1:3" ht="12.75">
      <c r="A22" s="5" t="s">
        <v>466</v>
      </c>
      <c r="B22" s="107" t="s">
        <v>1353</v>
      </c>
      <c r="C22" s="23" t="s">
        <v>467</v>
      </c>
    </row>
    <row r="23" spans="1:3" ht="12.75">
      <c r="A23" s="5" t="s">
        <v>464</v>
      </c>
      <c r="B23" s="87" t="s">
        <v>879</v>
      </c>
      <c r="C23" s="23" t="s">
        <v>510</v>
      </c>
    </row>
    <row r="24" spans="1:3" ht="12.75">
      <c r="A24" s="5" t="s">
        <v>465</v>
      </c>
      <c r="B24" s="87" t="s">
        <v>807</v>
      </c>
      <c r="C24" s="23" t="s">
        <v>510</v>
      </c>
    </row>
    <row r="26" spans="1:3" ht="25.5">
      <c r="A26" s="76" t="s">
        <v>1252</v>
      </c>
      <c r="B26" s="74"/>
      <c r="C26" s="23" t="s">
        <v>510</v>
      </c>
    </row>
    <row r="27" spans="1:3" ht="25.5">
      <c r="A27" s="76" t="s">
        <v>1253</v>
      </c>
      <c r="B27" s="74"/>
      <c r="C27" s="23" t="s">
        <v>510</v>
      </c>
    </row>
    <row r="28" spans="1:3" ht="12.75">
      <c r="A28" s="76" t="s">
        <v>1254</v>
      </c>
      <c r="B28" s="74"/>
      <c r="C28" s="23" t="s">
        <v>510</v>
      </c>
    </row>
    <row r="29" spans="1:3" ht="38.25">
      <c r="A29" s="76" t="s">
        <v>1255</v>
      </c>
      <c r="B29" s="74"/>
      <c r="C29" s="23" t="s">
        <v>510</v>
      </c>
    </row>
    <row r="30" spans="1:3" ht="51">
      <c r="A30" s="76" t="s">
        <v>1256</v>
      </c>
      <c r="B30" s="74"/>
      <c r="C30" s="23" t="s">
        <v>510</v>
      </c>
    </row>
    <row r="31" spans="1:3" ht="51">
      <c r="A31" s="76" t="s">
        <v>1257</v>
      </c>
      <c r="B31" s="74"/>
      <c r="C31" s="23" t="s">
        <v>510</v>
      </c>
    </row>
    <row r="32" spans="1:3" ht="25.5">
      <c r="A32" s="76" t="s">
        <v>1258</v>
      </c>
      <c r="B32" s="74"/>
      <c r="C32" s="23"/>
    </row>
    <row r="34" spans="1:3" ht="12.75">
      <c r="A34" s="120" t="s">
        <v>154</v>
      </c>
      <c r="B34" s="120"/>
      <c r="C34" s="120"/>
    </row>
    <row r="35" spans="1:3" ht="12.75">
      <c r="A35" s="121"/>
      <c r="B35" s="122"/>
      <c r="C35" s="123"/>
    </row>
    <row r="36" spans="1:3" ht="12.75">
      <c r="A36" s="124"/>
      <c r="B36" s="125"/>
      <c r="C36" s="126"/>
    </row>
    <row r="37" spans="1:3" ht="12.75">
      <c r="A37" s="124"/>
      <c r="B37" s="125"/>
      <c r="C37" s="126"/>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7"/>
      <c r="B44" s="128"/>
      <c r="C44" s="129"/>
    </row>
  </sheetData>
  <mergeCells count="2">
    <mergeCell ref="A34:C34"/>
    <mergeCell ref="A35:C44"/>
  </mergeCells>
  <dataValidations count="9">
    <dataValidation type="list" allowBlank="1" showInputMessage="1" showErrorMessage="1" sqref="B26:B31">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3">
      <formula1>POWER_SOURCE</formula1>
    </dataValidation>
    <dataValidation errorStyle="warning" type="list" allowBlank="1" showInputMessage="1" showErrorMessage="1" sqref="B24">
      <formula1>PANEL_PNEUMATIC_ELECTRONIC</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E4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v>10704235</v>
      </c>
      <c r="C2" s="72"/>
      <c r="E2" s="84" t="s">
        <v>1334</v>
      </c>
    </row>
    <row r="3" spans="1:3" ht="12.75">
      <c r="A3" s="72" t="s">
        <v>4</v>
      </c>
      <c r="B3" s="4" t="s">
        <v>120</v>
      </c>
      <c r="C3" s="23"/>
    </row>
    <row r="4" spans="1:5" ht="12.75">
      <c r="A4" s="72" t="s">
        <v>6</v>
      </c>
      <c r="B4" s="4" t="s">
        <v>1354</v>
      </c>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v>11671798</v>
      </c>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28</v>
      </c>
      <c r="C20" s="23" t="s">
        <v>510</v>
      </c>
    </row>
    <row r="21" spans="1:3" ht="12.75">
      <c r="A21" s="19" t="s">
        <v>424</v>
      </c>
      <c r="B21" s="87" t="s">
        <v>879</v>
      </c>
      <c r="C21" s="23"/>
    </row>
    <row r="22" spans="1:3" ht="12.75">
      <c r="A22" s="19" t="s">
        <v>468</v>
      </c>
      <c r="B22" s="87" t="s">
        <v>879</v>
      </c>
      <c r="C22" s="23" t="s">
        <v>510</v>
      </c>
    </row>
    <row r="23" spans="1:3" ht="12.75">
      <c r="A23" s="19" t="s">
        <v>432</v>
      </c>
      <c r="B23" s="87" t="s">
        <v>879</v>
      </c>
      <c r="C23" s="23" t="s">
        <v>511</v>
      </c>
    </row>
    <row r="24" spans="1:3" ht="12.75">
      <c r="A24" s="19" t="s">
        <v>119</v>
      </c>
      <c r="B24" s="107" t="s">
        <v>1337</v>
      </c>
      <c r="C24" s="23"/>
    </row>
    <row r="25" spans="1:3" ht="12.75">
      <c r="A25" s="19" t="s">
        <v>469</v>
      </c>
      <c r="B25" s="107" t="s">
        <v>1355</v>
      </c>
      <c r="C25" s="23"/>
    </row>
    <row r="26" spans="1:3" ht="12.75">
      <c r="A26" s="19" t="s">
        <v>351</v>
      </c>
      <c r="B26" s="87" t="s">
        <v>879</v>
      </c>
      <c r="C26" s="23" t="s">
        <v>510</v>
      </c>
    </row>
    <row r="27" spans="1:3" ht="12.75">
      <c r="A27" s="19" t="s">
        <v>470</v>
      </c>
      <c r="B27" s="87" t="s">
        <v>879</v>
      </c>
      <c r="C27" s="23" t="s">
        <v>510</v>
      </c>
    </row>
    <row r="28" spans="1:3" ht="12.75">
      <c r="A28" s="19" t="s">
        <v>471</v>
      </c>
      <c r="B28" s="107" t="s">
        <v>1356</v>
      </c>
      <c r="C28" s="23"/>
    </row>
    <row r="29" spans="1:3" ht="12.75">
      <c r="A29" s="19" t="s">
        <v>472</v>
      </c>
      <c r="B29" s="87" t="s">
        <v>879</v>
      </c>
      <c r="C29" s="23" t="s">
        <v>511</v>
      </c>
    </row>
    <row r="31" spans="1:3" ht="25.5">
      <c r="A31" s="76" t="s">
        <v>1252</v>
      </c>
      <c r="B31" s="74"/>
      <c r="C31" s="23" t="s">
        <v>510</v>
      </c>
    </row>
    <row r="32" spans="1:3" ht="25.5">
      <c r="A32" s="76" t="s">
        <v>1253</v>
      </c>
      <c r="B32" s="74"/>
      <c r="C32" s="23" t="s">
        <v>510</v>
      </c>
    </row>
    <row r="33" spans="1:3" ht="12.75">
      <c r="A33" s="76" t="s">
        <v>1254</v>
      </c>
      <c r="B33" s="74"/>
      <c r="C33" s="23" t="s">
        <v>510</v>
      </c>
    </row>
    <row r="34" spans="1:3" ht="38.25">
      <c r="A34" s="76" t="s">
        <v>1255</v>
      </c>
      <c r="B34" s="74"/>
      <c r="C34" s="23" t="s">
        <v>510</v>
      </c>
    </row>
    <row r="35" spans="1:3" ht="51">
      <c r="A35" s="76" t="s">
        <v>1256</v>
      </c>
      <c r="B35" s="74"/>
      <c r="C35" s="23" t="s">
        <v>510</v>
      </c>
    </row>
    <row r="36" spans="1:3" ht="51">
      <c r="A36" s="76" t="s">
        <v>1257</v>
      </c>
      <c r="B36" s="74"/>
      <c r="C36" s="23" t="s">
        <v>510</v>
      </c>
    </row>
    <row r="37" spans="1:3" ht="25.5">
      <c r="A37" s="76" t="s">
        <v>1258</v>
      </c>
      <c r="B37" s="74"/>
      <c r="C37" s="23"/>
    </row>
    <row r="39" spans="1:3" ht="12.75">
      <c r="A39" s="120" t="s">
        <v>154</v>
      </c>
      <c r="B39" s="120"/>
      <c r="C39" s="120"/>
    </row>
    <row r="40" spans="1:3" ht="12.75">
      <c r="A40" s="121"/>
      <c r="B40" s="122"/>
      <c r="C40" s="123"/>
    </row>
    <row r="41" spans="1:3" ht="12.75">
      <c r="A41" s="124"/>
      <c r="B41" s="125"/>
      <c r="C41" s="126"/>
    </row>
    <row r="42" spans="1:3" ht="12.75">
      <c r="A42" s="124"/>
      <c r="B42" s="125"/>
      <c r="C42" s="126"/>
    </row>
    <row r="43" spans="1:3" ht="12.75">
      <c r="A43" s="124"/>
      <c r="B43" s="125"/>
      <c r="C43" s="126"/>
    </row>
    <row r="44" spans="1:3" ht="12.75">
      <c r="A44" s="124"/>
      <c r="B44" s="125"/>
      <c r="C44" s="126"/>
    </row>
    <row r="45" spans="1:3" ht="12.75">
      <c r="A45" s="124"/>
      <c r="B45" s="125"/>
      <c r="C45" s="126"/>
    </row>
    <row r="46" spans="1:3" ht="12.75">
      <c r="A46" s="124"/>
      <c r="B46" s="125"/>
      <c r="C46" s="126"/>
    </row>
    <row r="47" spans="1:3" ht="12.75">
      <c r="A47" s="124"/>
      <c r="B47" s="125"/>
      <c r="C47" s="126"/>
    </row>
    <row r="48" spans="1:3" ht="12.75">
      <c r="A48" s="124"/>
      <c r="B48" s="125"/>
      <c r="C48" s="126"/>
    </row>
    <row r="49" spans="1:3" ht="12.75">
      <c r="A49" s="127"/>
      <c r="B49" s="128"/>
      <c r="C49" s="129"/>
    </row>
  </sheetData>
  <mergeCells count="2">
    <mergeCell ref="A39:C39"/>
    <mergeCell ref="A40:C49"/>
  </mergeCells>
  <dataValidations count="10">
    <dataValidation type="list" allowBlank="1" showInputMessage="1" showErrorMessage="1" sqref="B31:B36">
      <formula1>YES_NO</formula1>
    </dataValidation>
    <dataValidation errorStyle="warning" type="list" allowBlank="1" showInputMessage="1" showErrorMessage="1" sqref="B22 B27">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6">
      <formula1>SERVICE_MEDIUM_2</formula1>
    </dataValidation>
    <dataValidation type="list" allowBlank="1" showInputMessage="1" showErrorMessage="1" sqref="B3">
      <formula1>#REF!</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E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150</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422</v>
      </c>
      <c r="B21" s="87" t="s">
        <v>879</v>
      </c>
      <c r="C21" s="23"/>
    </row>
    <row r="22" spans="1:3" ht="12.75">
      <c r="A22" s="19" t="s">
        <v>492</v>
      </c>
      <c r="B22" s="87" t="s">
        <v>879</v>
      </c>
      <c r="C22" s="23" t="s">
        <v>510</v>
      </c>
    </row>
    <row r="23" spans="1:3" ht="12.75">
      <c r="A23" s="19" t="s">
        <v>1259</v>
      </c>
      <c r="B23" s="87" t="s">
        <v>879</v>
      </c>
      <c r="C23" s="23"/>
    </row>
    <row r="24" spans="1:3" ht="12.75">
      <c r="A24" s="19" t="s">
        <v>1260</v>
      </c>
      <c r="B24" s="87" t="s">
        <v>879</v>
      </c>
      <c r="C24" s="23"/>
    </row>
    <row r="25" spans="1:3" ht="12.75">
      <c r="A25" s="19" t="s">
        <v>1261</v>
      </c>
      <c r="B25" s="87" t="s">
        <v>879</v>
      </c>
      <c r="C25" s="23"/>
    </row>
    <row r="26" spans="1:3" ht="12.75">
      <c r="A26" s="19" t="s">
        <v>351</v>
      </c>
      <c r="B26" s="87" t="s">
        <v>879</v>
      </c>
      <c r="C26" s="23" t="s">
        <v>510</v>
      </c>
    </row>
    <row r="28" spans="1:3" ht="25.5">
      <c r="A28" s="76" t="s">
        <v>1252</v>
      </c>
      <c r="B28" s="74"/>
      <c r="C28" s="23" t="s">
        <v>510</v>
      </c>
    </row>
    <row r="29" spans="1:3" ht="25.5">
      <c r="A29" s="76" t="s">
        <v>1253</v>
      </c>
      <c r="B29" s="74"/>
      <c r="C29" s="23" t="s">
        <v>510</v>
      </c>
    </row>
    <row r="30" spans="1:3" ht="12.75">
      <c r="A30" s="76" t="s">
        <v>1254</v>
      </c>
      <c r="B30" s="74"/>
      <c r="C30" s="23" t="s">
        <v>510</v>
      </c>
    </row>
    <row r="31" spans="1:3" ht="38.25">
      <c r="A31" s="76" t="s">
        <v>1255</v>
      </c>
      <c r="B31" s="74"/>
      <c r="C31" s="23" t="s">
        <v>510</v>
      </c>
    </row>
    <row r="32" spans="1:3" ht="51">
      <c r="A32" s="76" t="s">
        <v>1256</v>
      </c>
      <c r="B32" s="74"/>
      <c r="C32" s="23" t="s">
        <v>510</v>
      </c>
    </row>
    <row r="33" spans="1:3" ht="51">
      <c r="A33" s="76" t="s">
        <v>1257</v>
      </c>
      <c r="B33" s="74"/>
      <c r="C33" s="23" t="s">
        <v>510</v>
      </c>
    </row>
    <row r="34" spans="1:3" ht="25.5">
      <c r="A34" s="76" t="s">
        <v>1258</v>
      </c>
      <c r="B34" s="74"/>
      <c r="C34" s="23"/>
    </row>
    <row r="36" spans="1:3" ht="12.75">
      <c r="A36" s="120" t="s">
        <v>154</v>
      </c>
      <c r="B36" s="120"/>
      <c r="C36" s="120"/>
    </row>
    <row r="37" spans="1:3" ht="12.75">
      <c r="A37" s="121"/>
      <c r="B37" s="122"/>
      <c r="C37" s="123"/>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4"/>
      <c r="B44" s="125"/>
      <c r="C44" s="126"/>
    </row>
    <row r="45" spans="1:3" ht="12.75">
      <c r="A45" s="124"/>
      <c r="B45" s="125"/>
      <c r="C45" s="126"/>
    </row>
    <row r="46" spans="1:3" ht="12.75">
      <c r="A46" s="127"/>
      <c r="B46" s="128"/>
      <c r="C46" s="129"/>
    </row>
  </sheetData>
  <mergeCells count="2">
    <mergeCell ref="A36:C36"/>
    <mergeCell ref="A37:C46"/>
  </mergeCells>
  <dataValidations count="9">
    <dataValidation type="list" allowBlank="1" showInputMessage="1" showErrorMessage="1" sqref="B28:B33">
      <formula1>YES_NO</formula1>
    </dataValidation>
    <dataValidation errorStyle="warning" type="list" allowBlank="1" showInputMessage="1" showErrorMessage="1" sqref="B22">
      <formula1>CAPACITY_UOM</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6">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E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155</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19</v>
      </c>
      <c r="B20" s="87" t="s">
        <v>879</v>
      </c>
      <c r="C20" s="23" t="s">
        <v>510</v>
      </c>
    </row>
    <row r="21" spans="1:3" ht="12.75">
      <c r="A21" s="19" t="s">
        <v>422</v>
      </c>
      <c r="B21" s="87" t="s">
        <v>879</v>
      </c>
      <c r="C21" s="23"/>
    </row>
    <row r="22" spans="1:3" ht="12.75">
      <c r="A22" s="19" t="s">
        <v>492</v>
      </c>
      <c r="B22" s="87" t="s">
        <v>879</v>
      </c>
      <c r="C22" s="23" t="s">
        <v>510</v>
      </c>
    </row>
    <row r="23" spans="1:3" ht="12.75">
      <c r="A23" s="19" t="s">
        <v>1259</v>
      </c>
      <c r="B23" s="87" t="s">
        <v>879</v>
      </c>
      <c r="C23" s="23"/>
    </row>
    <row r="24" spans="1:3" ht="12.75">
      <c r="A24" s="19" t="s">
        <v>1260</v>
      </c>
      <c r="B24" s="87" t="s">
        <v>879</v>
      </c>
      <c r="C24" s="23"/>
    </row>
    <row r="25" spans="1:3" ht="12.75">
      <c r="A25" s="19" t="s">
        <v>1261</v>
      </c>
      <c r="B25" s="87" t="s">
        <v>879</v>
      </c>
      <c r="C25" s="23"/>
    </row>
    <row r="26" spans="1:3" ht="12.75">
      <c r="A26" s="19" t="s">
        <v>351</v>
      </c>
      <c r="B26" s="87" t="s">
        <v>879</v>
      </c>
      <c r="C26" s="23" t="s">
        <v>510</v>
      </c>
    </row>
    <row r="28" spans="1:3" ht="25.5">
      <c r="A28" s="76" t="s">
        <v>1252</v>
      </c>
      <c r="B28" s="74"/>
      <c r="C28" s="23" t="s">
        <v>510</v>
      </c>
    </row>
    <row r="29" spans="1:3" ht="25.5">
      <c r="A29" s="76" t="s">
        <v>1253</v>
      </c>
      <c r="B29" s="74"/>
      <c r="C29" s="23" t="s">
        <v>510</v>
      </c>
    </row>
    <row r="30" spans="1:3" ht="12.75">
      <c r="A30" s="76" t="s">
        <v>1254</v>
      </c>
      <c r="B30" s="74"/>
      <c r="C30" s="23" t="s">
        <v>510</v>
      </c>
    </row>
    <row r="31" spans="1:3" ht="38.25">
      <c r="A31" s="76" t="s">
        <v>1255</v>
      </c>
      <c r="B31" s="74"/>
      <c r="C31" s="23" t="s">
        <v>510</v>
      </c>
    </row>
    <row r="32" spans="1:3" ht="51">
      <c r="A32" s="76" t="s">
        <v>1256</v>
      </c>
      <c r="B32" s="74"/>
      <c r="C32" s="23" t="s">
        <v>510</v>
      </c>
    </row>
    <row r="33" spans="1:3" ht="51">
      <c r="A33" s="76" t="s">
        <v>1257</v>
      </c>
      <c r="B33" s="74"/>
      <c r="C33" s="23" t="s">
        <v>510</v>
      </c>
    </row>
    <row r="34" spans="1:3" ht="25.5">
      <c r="A34" s="76" t="s">
        <v>1258</v>
      </c>
      <c r="B34" s="74"/>
      <c r="C34" s="23"/>
    </row>
    <row r="36" spans="1:3" ht="12.75">
      <c r="A36" s="120" t="s">
        <v>154</v>
      </c>
      <c r="B36" s="120"/>
      <c r="C36" s="120"/>
    </row>
    <row r="37" spans="1:3" ht="12.75">
      <c r="A37" s="121"/>
      <c r="B37" s="122"/>
      <c r="C37" s="123"/>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4"/>
      <c r="B44" s="125"/>
      <c r="C44" s="126"/>
    </row>
    <row r="45" spans="1:3" ht="12.75">
      <c r="A45" s="124"/>
      <c r="B45" s="125"/>
      <c r="C45" s="126"/>
    </row>
    <row r="46" spans="1:3" ht="12.75">
      <c r="A46" s="127"/>
      <c r="B46" s="128"/>
      <c r="C46" s="129"/>
    </row>
  </sheetData>
  <mergeCells count="2">
    <mergeCell ref="A36:C36"/>
    <mergeCell ref="A37:C46"/>
  </mergeCells>
  <dataValidations count="9">
    <dataValidation type="list" allowBlank="1" showInputMessage="1" showErrorMessage="1" sqref="B28:B33">
      <formula1>YES_NO</formula1>
    </dataValidation>
    <dataValidation errorStyle="warning" type="list" allowBlank="1" showInputMessage="1" showErrorMessage="1" sqref="B26">
      <formula1>SERVICE_MEDIUM_2</formula1>
    </dataValidation>
    <dataValidation errorStyle="warning" type="list" allowBlank="1" showInputMessage="1" showErrorMessage="1" sqref="B22">
      <formula1>CAPACITY_UOM</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E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157</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422</v>
      </c>
      <c r="B21" s="87" t="s">
        <v>879</v>
      </c>
      <c r="C21" s="23"/>
    </row>
    <row r="22" spans="1:3" ht="12.75">
      <c r="A22" s="19" t="s">
        <v>492</v>
      </c>
      <c r="B22" s="87" t="s">
        <v>879</v>
      </c>
      <c r="C22" s="23" t="s">
        <v>510</v>
      </c>
    </row>
    <row r="23" spans="1:3" ht="12.75">
      <c r="A23" s="19" t="s">
        <v>1259</v>
      </c>
      <c r="B23" s="87" t="s">
        <v>879</v>
      </c>
      <c r="C23" s="23"/>
    </row>
    <row r="24" spans="1:3" ht="12.75">
      <c r="A24" s="19" t="s">
        <v>1260</v>
      </c>
      <c r="B24" s="87" t="s">
        <v>879</v>
      </c>
      <c r="C24" s="23"/>
    </row>
    <row r="25" spans="1:3" ht="12.75">
      <c r="A25" s="19" t="s">
        <v>1261</v>
      </c>
      <c r="B25" s="87" t="s">
        <v>879</v>
      </c>
      <c r="C25" s="23"/>
    </row>
    <row r="26" spans="1:3" ht="12.75">
      <c r="A26" s="19" t="s">
        <v>351</v>
      </c>
      <c r="B26" s="87" t="s">
        <v>879</v>
      </c>
      <c r="C26" s="23" t="s">
        <v>510</v>
      </c>
    </row>
    <row r="28" spans="1:3" ht="25.5">
      <c r="A28" s="76" t="s">
        <v>1252</v>
      </c>
      <c r="B28" s="74"/>
      <c r="C28" s="23" t="s">
        <v>510</v>
      </c>
    </row>
    <row r="29" spans="1:3" ht="25.5">
      <c r="A29" s="76" t="s">
        <v>1253</v>
      </c>
      <c r="B29" s="74"/>
      <c r="C29" s="23" t="s">
        <v>510</v>
      </c>
    </row>
    <row r="30" spans="1:3" ht="12.75">
      <c r="A30" s="76" t="s">
        <v>1254</v>
      </c>
      <c r="B30" s="74"/>
      <c r="C30" s="23" t="s">
        <v>510</v>
      </c>
    </row>
    <row r="31" spans="1:3" ht="38.25">
      <c r="A31" s="76" t="s">
        <v>1255</v>
      </c>
      <c r="B31" s="74"/>
      <c r="C31" s="23" t="s">
        <v>510</v>
      </c>
    </row>
    <row r="32" spans="1:3" ht="51">
      <c r="A32" s="76" t="s">
        <v>1256</v>
      </c>
      <c r="B32" s="74"/>
      <c r="C32" s="23" t="s">
        <v>510</v>
      </c>
    </row>
    <row r="33" spans="1:3" ht="51">
      <c r="A33" s="76" t="s">
        <v>1257</v>
      </c>
      <c r="B33" s="74"/>
      <c r="C33" s="23" t="s">
        <v>510</v>
      </c>
    </row>
    <row r="34" spans="1:3" ht="25.5">
      <c r="A34" s="76" t="s">
        <v>1258</v>
      </c>
      <c r="B34" s="74"/>
      <c r="C34" s="23"/>
    </row>
    <row r="36" spans="1:3" ht="12.75">
      <c r="A36" s="120" t="s">
        <v>154</v>
      </c>
      <c r="B36" s="120"/>
      <c r="C36" s="120"/>
    </row>
    <row r="37" spans="1:3" ht="12.75">
      <c r="A37" s="121"/>
      <c r="B37" s="122"/>
      <c r="C37" s="123"/>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4"/>
      <c r="B44" s="125"/>
      <c r="C44" s="126"/>
    </row>
    <row r="45" spans="1:3" ht="12.75">
      <c r="A45" s="124"/>
      <c r="B45" s="125"/>
      <c r="C45" s="126"/>
    </row>
    <row r="46" spans="1:3" ht="12.75">
      <c r="A46" s="127"/>
      <c r="B46" s="128"/>
      <c r="C46" s="129"/>
    </row>
  </sheetData>
  <mergeCells count="2">
    <mergeCell ref="A36:C36"/>
    <mergeCell ref="A37:C46"/>
  </mergeCells>
  <dataValidations count="9">
    <dataValidation type="list" allowBlank="1" showInputMessage="1" showErrorMessage="1" sqref="B28:B33">
      <formula1>YES_NO</formula1>
    </dataValidation>
    <dataValidation errorStyle="warning" type="list" allowBlank="1" showInputMessage="1" showErrorMessage="1" sqref="B26">
      <formula1>SERVICE_MEDIUM_2</formula1>
    </dataValidation>
    <dataValidation errorStyle="warning" type="list" allowBlank="1" showInputMessage="1" showErrorMessage="1" sqref="B22">
      <formula1>CAPACITY_UOM</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E5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231</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19</v>
      </c>
      <c r="B20" s="87" t="s">
        <v>879</v>
      </c>
      <c r="C20" s="23" t="s">
        <v>510</v>
      </c>
    </row>
    <row r="21" spans="1:3" ht="12.75">
      <c r="A21" s="19" t="s">
        <v>420</v>
      </c>
      <c r="B21" s="87" t="s">
        <v>879</v>
      </c>
      <c r="C21" s="5"/>
    </row>
    <row r="22" spans="1:3" ht="12.75">
      <c r="A22" s="19" t="s">
        <v>421</v>
      </c>
      <c r="B22" s="87" t="s">
        <v>879</v>
      </c>
      <c r="C22" s="5"/>
    </row>
    <row r="23" spans="1:3" ht="12.75">
      <c r="A23" s="19" t="s">
        <v>424</v>
      </c>
      <c r="B23" s="87" t="s">
        <v>879</v>
      </c>
      <c r="C23" s="5"/>
    </row>
    <row r="24" spans="1:3" ht="12.75">
      <c r="A24" s="19" t="s">
        <v>493</v>
      </c>
      <c r="B24" s="87" t="s">
        <v>879</v>
      </c>
      <c r="C24" s="5" t="s">
        <v>423</v>
      </c>
    </row>
    <row r="25" spans="1:3" ht="12.75">
      <c r="A25" s="19" t="s">
        <v>496</v>
      </c>
      <c r="B25" s="87" t="s">
        <v>879</v>
      </c>
      <c r="C25" s="5"/>
    </row>
    <row r="26" spans="1:3" ht="12.75">
      <c r="A26" s="19" t="s">
        <v>497</v>
      </c>
      <c r="B26" s="87" t="s">
        <v>879</v>
      </c>
      <c r="C26" s="5"/>
    </row>
    <row r="27" spans="1:3" ht="12.75">
      <c r="A27" s="19" t="s">
        <v>498</v>
      </c>
      <c r="B27" s="87" t="s">
        <v>879</v>
      </c>
      <c r="C27" s="23" t="s">
        <v>510</v>
      </c>
    </row>
    <row r="28" spans="1:3" ht="12.75">
      <c r="A28" s="19" t="s">
        <v>433</v>
      </c>
      <c r="B28" s="87" t="s">
        <v>879</v>
      </c>
      <c r="C28" s="23" t="s">
        <v>510</v>
      </c>
    </row>
    <row r="29" spans="1:3" ht="12.75">
      <c r="A29" s="19" t="s">
        <v>503</v>
      </c>
      <c r="B29" s="87" t="s">
        <v>879</v>
      </c>
      <c r="C29" s="23"/>
    </row>
    <row r="30" spans="1:3" ht="12.75">
      <c r="A30" s="19" t="s">
        <v>119</v>
      </c>
      <c r="B30" s="87" t="s">
        <v>879</v>
      </c>
      <c r="C30" s="23"/>
    </row>
    <row r="31" spans="1:3" ht="12.75">
      <c r="A31" s="19" t="s">
        <v>351</v>
      </c>
      <c r="B31" s="87" t="s">
        <v>879</v>
      </c>
      <c r="C31" s="23" t="s">
        <v>510</v>
      </c>
    </row>
    <row r="33" spans="1:3" ht="25.5">
      <c r="A33" s="76" t="s">
        <v>1252</v>
      </c>
      <c r="B33" s="74"/>
      <c r="C33" s="23" t="s">
        <v>510</v>
      </c>
    </row>
    <row r="34" spans="1:3" ht="25.5">
      <c r="A34" s="76" t="s">
        <v>1253</v>
      </c>
      <c r="B34" s="74"/>
      <c r="C34" s="23" t="s">
        <v>510</v>
      </c>
    </row>
    <row r="35" spans="1:3" ht="12.75">
      <c r="A35" s="76" t="s">
        <v>1254</v>
      </c>
      <c r="B35" s="74"/>
      <c r="C35" s="23" t="s">
        <v>510</v>
      </c>
    </row>
    <row r="36" spans="1:3" ht="38.25">
      <c r="A36" s="76" t="s">
        <v>1255</v>
      </c>
      <c r="B36" s="74"/>
      <c r="C36" s="23" t="s">
        <v>510</v>
      </c>
    </row>
    <row r="37" spans="1:3" ht="51">
      <c r="A37" s="76" t="s">
        <v>1256</v>
      </c>
      <c r="B37" s="74"/>
      <c r="C37" s="23" t="s">
        <v>510</v>
      </c>
    </row>
    <row r="38" spans="1:3" ht="51">
      <c r="A38" s="76" t="s">
        <v>1257</v>
      </c>
      <c r="B38" s="74"/>
      <c r="C38" s="23" t="s">
        <v>510</v>
      </c>
    </row>
    <row r="39" spans="1:3" ht="25.5">
      <c r="A39" s="76" t="s">
        <v>1258</v>
      </c>
      <c r="B39" s="74"/>
      <c r="C39" s="23"/>
    </row>
    <row r="41" spans="1:3" ht="12.75">
      <c r="A41" s="120" t="s">
        <v>154</v>
      </c>
      <c r="B41" s="120"/>
      <c r="C41" s="120"/>
    </row>
    <row r="42" spans="1:3" ht="12.75">
      <c r="A42" s="121"/>
      <c r="B42" s="122"/>
      <c r="C42" s="123"/>
    </row>
    <row r="43" spans="1:3" ht="12.75">
      <c r="A43" s="124"/>
      <c r="B43" s="125"/>
      <c r="C43" s="126"/>
    </row>
    <row r="44" spans="1:3" ht="12.75">
      <c r="A44" s="124"/>
      <c r="B44" s="125"/>
      <c r="C44" s="126"/>
    </row>
    <row r="45" spans="1:3" ht="12.75">
      <c r="A45" s="124"/>
      <c r="B45" s="125"/>
      <c r="C45" s="126"/>
    </row>
    <row r="46" spans="1:3" ht="12.75">
      <c r="A46" s="124"/>
      <c r="B46" s="125"/>
      <c r="C46" s="126"/>
    </row>
    <row r="47" spans="1:3" ht="12.75">
      <c r="A47" s="124"/>
      <c r="B47" s="125"/>
      <c r="C47" s="126"/>
    </row>
    <row r="48" spans="1:3" ht="12.75">
      <c r="A48" s="124"/>
      <c r="B48" s="125"/>
      <c r="C48" s="126"/>
    </row>
    <row r="49" spans="1:3" ht="12.75">
      <c r="A49" s="124"/>
      <c r="B49" s="125"/>
      <c r="C49" s="126"/>
    </row>
    <row r="50" spans="1:3" ht="12.75">
      <c r="A50" s="124"/>
      <c r="B50" s="125"/>
      <c r="C50" s="126"/>
    </row>
    <row r="51" spans="1:3" ht="12.75">
      <c r="A51" s="127"/>
      <c r="B51" s="128"/>
      <c r="C51" s="129"/>
    </row>
  </sheetData>
  <mergeCells count="2">
    <mergeCell ref="A41:C41"/>
    <mergeCell ref="A42:C51"/>
  </mergeCells>
  <dataValidations count="10">
    <dataValidation type="list" allowBlank="1" showInputMessage="1" showErrorMessage="1" sqref="B33:B38">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7:B28">
      <formula1>YES_NO</formula1>
    </dataValidation>
    <dataValidation allowBlank="1" showInputMessage="1" showErrorMessage="1" sqref="B14:B19"/>
    <dataValidation errorStyle="warning" type="list" allowBlank="1" showInputMessage="1" showErrorMessage="1" sqref="B20">
      <formula1>Controllable_Asset_Indicator</formula1>
    </dataValidation>
    <dataValidation errorStyle="warning" type="list" allowBlank="1" showInputMessage="1" showErrorMessage="1" sqref="B31">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227</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19</v>
      </c>
      <c r="B20" s="87" t="s">
        <v>879</v>
      </c>
      <c r="C20" s="23" t="s">
        <v>510</v>
      </c>
    </row>
    <row r="21" spans="1:3" ht="12.75">
      <c r="A21" s="19" t="s">
        <v>420</v>
      </c>
      <c r="B21" s="87" t="s">
        <v>879</v>
      </c>
      <c r="C21" s="5"/>
    </row>
    <row r="22" spans="1:3" ht="12.75">
      <c r="A22" s="19" t="s">
        <v>421</v>
      </c>
      <c r="B22" s="87" t="s">
        <v>879</v>
      </c>
      <c r="C22" s="5"/>
    </row>
    <row r="23" spans="1:3" ht="12.75">
      <c r="A23" s="19" t="s">
        <v>422</v>
      </c>
      <c r="B23" s="87" t="s">
        <v>879</v>
      </c>
      <c r="C23" s="5"/>
    </row>
    <row r="24" spans="1:3" ht="12.75">
      <c r="A24" s="19" t="s">
        <v>492</v>
      </c>
      <c r="B24" s="87" t="s">
        <v>879</v>
      </c>
      <c r="C24" s="23" t="s">
        <v>510</v>
      </c>
    </row>
    <row r="25" spans="1:3" ht="12.75">
      <c r="A25" s="19" t="s">
        <v>424</v>
      </c>
      <c r="B25" s="87" t="s">
        <v>879</v>
      </c>
      <c r="C25" s="5"/>
    </row>
    <row r="26" spans="1:3" ht="12.75">
      <c r="A26" s="19" t="s">
        <v>493</v>
      </c>
      <c r="B26" s="87" t="s">
        <v>879</v>
      </c>
      <c r="C26" s="5" t="s">
        <v>423</v>
      </c>
    </row>
    <row r="27" spans="1:3" ht="12.75">
      <c r="A27" s="19" t="s">
        <v>430</v>
      </c>
      <c r="B27" s="87" t="s">
        <v>879</v>
      </c>
      <c r="C27" s="5"/>
    </row>
    <row r="28" spans="1:3" ht="12.75">
      <c r="A28" s="19" t="s">
        <v>495</v>
      </c>
      <c r="B28" s="87" t="s">
        <v>879</v>
      </c>
      <c r="C28" s="23" t="s">
        <v>510</v>
      </c>
    </row>
    <row r="29" spans="1:3" ht="12.75">
      <c r="A29" s="19" t="s">
        <v>498</v>
      </c>
      <c r="B29" s="87" t="s">
        <v>879</v>
      </c>
      <c r="C29" s="23" t="s">
        <v>510</v>
      </c>
    </row>
    <row r="30" spans="1:3" ht="12.75">
      <c r="A30" s="19" t="s">
        <v>499</v>
      </c>
      <c r="B30" s="87" t="s">
        <v>879</v>
      </c>
      <c r="C30" s="23" t="s">
        <v>1280</v>
      </c>
    </row>
    <row r="31" spans="1:3" ht="12.75">
      <c r="A31" s="19" t="s">
        <v>500</v>
      </c>
      <c r="B31" s="87" t="s">
        <v>879</v>
      </c>
      <c r="C31" s="23" t="s">
        <v>434</v>
      </c>
    </row>
    <row r="32" spans="1:3" ht="12.75">
      <c r="A32" s="19" t="s">
        <v>1282</v>
      </c>
      <c r="B32" s="87" t="s">
        <v>879</v>
      </c>
      <c r="C32" s="6" t="s">
        <v>434</v>
      </c>
    </row>
    <row r="33" spans="1:3" ht="12.75">
      <c r="A33" s="19" t="s">
        <v>502</v>
      </c>
      <c r="B33" s="87" t="s">
        <v>879</v>
      </c>
      <c r="C33" s="5" t="s">
        <v>435</v>
      </c>
    </row>
    <row r="34" spans="1:3" ht="12.75">
      <c r="A34" s="19" t="s">
        <v>1283</v>
      </c>
      <c r="B34" s="87" t="s">
        <v>879</v>
      </c>
      <c r="C34" s="5" t="s">
        <v>435</v>
      </c>
    </row>
    <row r="35" spans="1:3" ht="12.75">
      <c r="A35" s="19" t="s">
        <v>119</v>
      </c>
      <c r="B35" s="87" t="s">
        <v>879</v>
      </c>
      <c r="C35" s="23"/>
    </row>
    <row r="36" spans="1:3" ht="12.75">
      <c r="A36" s="19" t="s">
        <v>351</v>
      </c>
      <c r="B36" s="87" t="s">
        <v>879</v>
      </c>
      <c r="C36" s="23" t="s">
        <v>510</v>
      </c>
    </row>
    <row r="37" spans="1:3" ht="12.75">
      <c r="A37" s="19" t="s">
        <v>504</v>
      </c>
      <c r="B37" s="87" t="s">
        <v>879</v>
      </c>
      <c r="C37" s="5" t="s">
        <v>435</v>
      </c>
    </row>
    <row r="38" spans="1:3" ht="12.75">
      <c r="A38" s="19" t="s">
        <v>1284</v>
      </c>
      <c r="B38" s="87" t="s">
        <v>879</v>
      </c>
      <c r="C38" s="5" t="s">
        <v>435</v>
      </c>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12">
    <dataValidation type="list" allowBlank="1" showInputMessage="1" showErrorMessage="1" sqref="B40:B45">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9">
      <formula1>YES_NO</formula1>
    </dataValidation>
    <dataValidation allowBlank="1" showInputMessage="1" showErrorMessage="1" sqref="B14:B19"/>
    <dataValidation errorStyle="warning" type="list" allowBlank="1" showInputMessage="1" showErrorMessage="1" sqref="B20">
      <formula1>Controllable_Asset_Indicator</formula1>
    </dataValidation>
    <dataValidation errorStyle="warning" type="list" allowBlank="1" showInputMessage="1" showErrorMessage="1" sqref="B24">
      <formula1>CAPACITY_UOM</formula1>
    </dataValidation>
    <dataValidation errorStyle="warning" type="list" allowBlank="1" showInputMessage="1" showErrorMessage="1" sqref="B28">
      <formula1>FLANGE_RATING_UOM</formula1>
    </dataValidation>
    <dataValidation errorStyle="warning" type="list" allowBlank="1" showInputMessage="1" showErrorMessage="1" sqref="B36">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L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C12" sqref="C12"/>
    </sheetView>
  </sheetViews>
  <sheetFormatPr defaultColWidth="9.140625" defaultRowHeight="12.75"/>
  <cols>
    <col min="1" max="1" width="36.00390625" style="1" bestFit="1" customWidth="1"/>
    <col min="2" max="9" width="36.140625" style="75" customWidth="1"/>
    <col min="10" max="10" width="20.7109375" style="0" bestFit="1" customWidth="1"/>
    <col min="12" max="12" width="22.421875" style="0" bestFit="1" customWidth="1"/>
  </cols>
  <sheetData>
    <row r="1" spans="1:12" ht="25.5">
      <c r="A1" s="71" t="s">
        <v>0</v>
      </c>
      <c r="B1" s="71" t="s">
        <v>1</v>
      </c>
      <c r="C1" s="71" t="s">
        <v>1</v>
      </c>
      <c r="D1" s="71" t="s">
        <v>1</v>
      </c>
      <c r="E1" s="71" t="s">
        <v>1</v>
      </c>
      <c r="F1" s="71" t="s">
        <v>1</v>
      </c>
      <c r="G1" s="71" t="s">
        <v>1</v>
      </c>
      <c r="H1" s="71" t="s">
        <v>1</v>
      </c>
      <c r="I1" s="71" t="s">
        <v>1</v>
      </c>
      <c r="J1" s="71" t="s">
        <v>2</v>
      </c>
      <c r="L1" s="70" t="s">
        <v>1302</v>
      </c>
    </row>
    <row r="2" spans="1:12" ht="12.75">
      <c r="A2" s="72" t="s">
        <v>3</v>
      </c>
      <c r="B2" s="3">
        <v>10721096</v>
      </c>
      <c r="C2" s="3">
        <v>10777315</v>
      </c>
      <c r="D2" s="3"/>
      <c r="E2" s="3"/>
      <c r="F2" s="3"/>
      <c r="G2" s="3"/>
      <c r="H2" s="3"/>
      <c r="I2" s="3"/>
      <c r="J2" s="72"/>
      <c r="L2" s="84" t="s">
        <v>1334</v>
      </c>
    </row>
    <row r="3" spans="1:10" ht="12.75">
      <c r="A3" s="72" t="s">
        <v>4</v>
      </c>
      <c r="B3" s="4" t="s">
        <v>262</v>
      </c>
      <c r="C3" s="4" t="s">
        <v>262</v>
      </c>
      <c r="D3" s="4" t="s">
        <v>262</v>
      </c>
      <c r="E3" s="4" t="s">
        <v>262</v>
      </c>
      <c r="F3" s="4" t="s">
        <v>262</v>
      </c>
      <c r="G3" s="4" t="s">
        <v>262</v>
      </c>
      <c r="H3" s="4" t="s">
        <v>262</v>
      </c>
      <c r="I3" s="4" t="s">
        <v>262</v>
      </c>
      <c r="J3" s="23"/>
    </row>
    <row r="4" spans="1:12" ht="12.75">
      <c r="A4" s="72" t="s">
        <v>6</v>
      </c>
      <c r="B4" s="4" t="s">
        <v>1357</v>
      </c>
      <c r="C4" s="4" t="s">
        <v>1358</v>
      </c>
      <c r="D4" s="4"/>
      <c r="E4" s="4"/>
      <c r="F4" s="4"/>
      <c r="G4" s="4"/>
      <c r="H4" s="4"/>
      <c r="I4" s="4"/>
      <c r="J4" s="72"/>
      <c r="L4" s="92" t="s">
        <v>1307</v>
      </c>
    </row>
    <row r="5" spans="1:10" ht="12.75">
      <c r="A5" s="72" t="s">
        <v>7</v>
      </c>
      <c r="B5" s="4" t="str">
        <f>+'9707 Compressor Pkg'!B5</f>
        <v>CAD_Peco</v>
      </c>
      <c r="C5" s="4" t="str">
        <f aca="true" t="shared" si="0" ref="C5:D11">+B5</f>
        <v>CAD_Peco</v>
      </c>
      <c r="D5" s="4" t="str">
        <f t="shared" si="0"/>
        <v>CAD_Peco</v>
      </c>
      <c r="E5" s="4" t="str">
        <f aca="true" t="shared" si="1" ref="E5:G11">+D5</f>
        <v>CAD_Peco</v>
      </c>
      <c r="F5" s="4" t="str">
        <f t="shared" si="1"/>
        <v>CAD_Peco</v>
      </c>
      <c r="G5" s="4" t="str">
        <f t="shared" si="1"/>
        <v>CAD_Peco</v>
      </c>
      <c r="H5" s="4" t="str">
        <f aca="true" t="shared" si="2" ref="H5:I11">+C5</f>
        <v>CAD_Peco</v>
      </c>
      <c r="I5" s="4" t="str">
        <f t="shared" si="2"/>
        <v>CAD_Peco</v>
      </c>
      <c r="J5" s="23" t="s">
        <v>510</v>
      </c>
    </row>
    <row r="6" spans="1:10" ht="12.75">
      <c r="A6" s="72" t="s">
        <v>509</v>
      </c>
      <c r="B6" s="4" t="str">
        <f>+'9707 Compressor Pkg'!B6</f>
        <v>PECO_Peco</v>
      </c>
      <c r="C6" s="4" t="str">
        <f t="shared" si="0"/>
        <v>PECO_Peco</v>
      </c>
      <c r="D6" s="4" t="str">
        <f t="shared" si="0"/>
        <v>PECO_Peco</v>
      </c>
      <c r="E6" s="4" t="str">
        <f t="shared" si="1"/>
        <v>PECO_Peco</v>
      </c>
      <c r="F6" s="4" t="str">
        <f t="shared" si="1"/>
        <v>PECO_Peco</v>
      </c>
      <c r="G6" s="4" t="str">
        <f t="shared" si="1"/>
        <v>PECO_Peco</v>
      </c>
      <c r="H6" s="4" t="str">
        <f t="shared" si="2"/>
        <v>PECO_Peco</v>
      </c>
      <c r="I6" s="4" t="str">
        <f t="shared" si="2"/>
        <v>PECO_Peco</v>
      </c>
      <c r="J6" s="23" t="s">
        <v>510</v>
      </c>
    </row>
    <row r="7" spans="1:10" ht="12.75">
      <c r="A7" s="72" t="s">
        <v>8</v>
      </c>
      <c r="B7" s="4" t="str">
        <f>+'9707 Compressor Pkg'!B7</f>
        <v>CMP_Compressor Station </v>
      </c>
      <c r="C7" s="4" t="str">
        <f t="shared" si="0"/>
        <v>CMP_Compressor Station </v>
      </c>
      <c r="D7" s="4" t="str">
        <f t="shared" si="0"/>
        <v>CMP_Compressor Station </v>
      </c>
      <c r="E7" s="4" t="str">
        <f t="shared" si="1"/>
        <v>CMP_Compressor Station </v>
      </c>
      <c r="F7" s="4" t="str">
        <f t="shared" si="1"/>
        <v>CMP_Compressor Station </v>
      </c>
      <c r="G7" s="4" t="str">
        <f t="shared" si="1"/>
        <v>CMP_Compressor Station </v>
      </c>
      <c r="H7" s="4" t="str">
        <f t="shared" si="2"/>
        <v>CMP_Compressor Station </v>
      </c>
      <c r="I7" s="4" t="str">
        <f t="shared" si="2"/>
        <v>CMP_Compressor Station </v>
      </c>
      <c r="J7" s="23" t="s">
        <v>510</v>
      </c>
    </row>
    <row r="8" spans="1:10" ht="12.75">
      <c r="A8" s="72" t="s">
        <v>9</v>
      </c>
      <c r="B8" s="4">
        <f>+'9707 Compressor Pkg'!B8</f>
        <v>0</v>
      </c>
      <c r="C8" s="4">
        <f t="shared" si="0"/>
        <v>0</v>
      </c>
      <c r="D8" s="4">
        <f t="shared" si="0"/>
        <v>0</v>
      </c>
      <c r="E8" s="4">
        <f t="shared" si="1"/>
        <v>0</v>
      </c>
      <c r="F8" s="4">
        <f t="shared" si="1"/>
        <v>0</v>
      </c>
      <c r="G8" s="4">
        <f t="shared" si="1"/>
        <v>0</v>
      </c>
      <c r="H8" s="4">
        <f t="shared" si="2"/>
        <v>0</v>
      </c>
      <c r="I8" s="4">
        <f t="shared" si="2"/>
        <v>0</v>
      </c>
      <c r="J8" s="72"/>
    </row>
    <row r="9" spans="1:10" ht="12.75">
      <c r="A9" s="72" t="s">
        <v>10</v>
      </c>
      <c r="B9" s="4" t="str">
        <f>+'9707 Compressor Pkg'!B9</f>
        <v>100/06-21-048-16W5/00</v>
      </c>
      <c r="C9" s="4" t="str">
        <f t="shared" si="0"/>
        <v>100/06-21-048-16W5/00</v>
      </c>
      <c r="D9" s="4" t="str">
        <f t="shared" si="0"/>
        <v>100/06-21-048-16W5/00</v>
      </c>
      <c r="E9" s="4" t="str">
        <f t="shared" si="1"/>
        <v>100/06-21-048-16W5/00</v>
      </c>
      <c r="F9" s="4" t="str">
        <f t="shared" si="1"/>
        <v>100/06-21-048-16W5/00</v>
      </c>
      <c r="G9" s="4" t="str">
        <f t="shared" si="1"/>
        <v>100/06-21-048-16W5/00</v>
      </c>
      <c r="H9" s="4" t="str">
        <f t="shared" si="2"/>
        <v>100/06-21-048-16W5/00</v>
      </c>
      <c r="I9" s="4" t="str">
        <f t="shared" si="2"/>
        <v>100/06-21-048-16W5/00</v>
      </c>
      <c r="J9" s="72"/>
    </row>
    <row r="10" spans="1:10" ht="12.75">
      <c r="A10" s="72" t="s">
        <v>11</v>
      </c>
      <c r="B10" s="4" t="str">
        <f>+'9707 Compressor Pkg'!B10</f>
        <v>CMP1_Compression</v>
      </c>
      <c r="C10" s="4" t="str">
        <f t="shared" si="0"/>
        <v>CMP1_Compression</v>
      </c>
      <c r="D10" s="4" t="str">
        <f t="shared" si="0"/>
        <v>CMP1_Compression</v>
      </c>
      <c r="E10" s="4" t="str">
        <f t="shared" si="1"/>
        <v>CMP1_Compression</v>
      </c>
      <c r="F10" s="4" t="str">
        <f t="shared" si="1"/>
        <v>CMP1_Compression</v>
      </c>
      <c r="G10" s="4" t="str">
        <f t="shared" si="1"/>
        <v>CMP1_Compression</v>
      </c>
      <c r="H10" s="4" t="str">
        <f t="shared" si="2"/>
        <v>CMP1_Compression</v>
      </c>
      <c r="I10" s="4" t="str">
        <f t="shared" si="2"/>
        <v>CMP1_Compression</v>
      </c>
      <c r="J10" s="23" t="s">
        <v>510</v>
      </c>
    </row>
    <row r="11" spans="1:10" ht="12.75">
      <c r="A11" s="72" t="s">
        <v>12</v>
      </c>
      <c r="B11" s="2" t="str">
        <f>+'9707 Compressor Pkg'!B11</f>
        <v>VCCF008230</v>
      </c>
      <c r="C11" s="2" t="str">
        <f t="shared" si="0"/>
        <v>VCCF008230</v>
      </c>
      <c r="D11" s="2" t="str">
        <f t="shared" si="0"/>
        <v>VCCF008230</v>
      </c>
      <c r="E11" s="2" t="str">
        <f t="shared" si="1"/>
        <v>VCCF008230</v>
      </c>
      <c r="F11" s="2" t="str">
        <f t="shared" si="1"/>
        <v>VCCF008230</v>
      </c>
      <c r="G11" s="2" t="str">
        <f t="shared" si="1"/>
        <v>VCCF008230</v>
      </c>
      <c r="H11" s="2" t="str">
        <f t="shared" si="2"/>
        <v>VCCF008230</v>
      </c>
      <c r="I11" s="2" t="str">
        <f t="shared" si="2"/>
        <v>VCCF008230</v>
      </c>
      <c r="J11" s="72"/>
    </row>
    <row r="12" spans="1:10" ht="12.75">
      <c r="A12" s="72" t="s">
        <v>13</v>
      </c>
      <c r="B12" s="3">
        <v>10703885</v>
      </c>
      <c r="C12" s="3">
        <v>10703885</v>
      </c>
      <c r="D12" s="3"/>
      <c r="E12" s="3"/>
      <c r="F12" s="3"/>
      <c r="G12" s="3"/>
      <c r="H12" s="3"/>
      <c r="I12" s="3"/>
      <c r="J12" s="72"/>
    </row>
    <row r="13" spans="1:10" ht="12.75">
      <c r="A13" s="72" t="s">
        <v>491</v>
      </c>
      <c r="B13" s="4" t="str">
        <f>+'9707 Compressor Pkg'!B13</f>
        <v>INAC-Suspended, Shut-in</v>
      </c>
      <c r="C13" s="4" t="str">
        <f>+B13</f>
        <v>INAC-Suspended, Shut-in</v>
      </c>
      <c r="D13" s="4" t="str">
        <f>+C13</f>
        <v>INAC-Suspended, Shut-in</v>
      </c>
      <c r="E13" s="4" t="str">
        <f>+D13</f>
        <v>INAC-Suspended, Shut-in</v>
      </c>
      <c r="F13" s="4" t="str">
        <f>+E13</f>
        <v>INAC-Suspended, Shut-in</v>
      </c>
      <c r="G13" s="4" t="str">
        <f>+F13</f>
        <v>INAC-Suspended, Shut-in</v>
      </c>
      <c r="H13" s="4" t="str">
        <f>+C13</f>
        <v>INAC-Suspended, Shut-in</v>
      </c>
      <c r="I13" s="4" t="str">
        <f>+D13</f>
        <v>INAC-Suspended, Shut-in</v>
      </c>
      <c r="J13" s="23" t="s">
        <v>510</v>
      </c>
    </row>
    <row r="14" spans="1:10" ht="12.75">
      <c r="A14" s="72" t="s">
        <v>14</v>
      </c>
      <c r="B14" s="2" t="s">
        <v>1339</v>
      </c>
      <c r="C14" s="2" t="s">
        <v>1339</v>
      </c>
      <c r="D14" s="2" t="s">
        <v>879</v>
      </c>
      <c r="E14" s="2" t="s">
        <v>879</v>
      </c>
      <c r="F14" s="2" t="s">
        <v>879</v>
      </c>
      <c r="G14" s="2" t="s">
        <v>879</v>
      </c>
      <c r="H14" s="2" t="s">
        <v>879</v>
      </c>
      <c r="I14" s="2" t="s">
        <v>879</v>
      </c>
      <c r="J14" s="72"/>
    </row>
    <row r="15" spans="1:10" ht="12.75">
      <c r="A15" s="72" t="s">
        <v>15</v>
      </c>
      <c r="B15" s="2" t="s">
        <v>879</v>
      </c>
      <c r="C15" s="2" t="s">
        <v>879</v>
      </c>
      <c r="D15" s="2" t="s">
        <v>879</v>
      </c>
      <c r="E15" s="2" t="s">
        <v>879</v>
      </c>
      <c r="F15" s="2" t="s">
        <v>879</v>
      </c>
      <c r="G15" s="2" t="s">
        <v>879</v>
      </c>
      <c r="H15" s="2" t="s">
        <v>879</v>
      </c>
      <c r="I15" s="2" t="s">
        <v>879</v>
      </c>
      <c r="J15" s="72"/>
    </row>
    <row r="16" spans="1:10" ht="12.75">
      <c r="A16" s="72" t="s">
        <v>16</v>
      </c>
      <c r="B16" s="73" t="s">
        <v>879</v>
      </c>
      <c r="C16" s="73" t="s">
        <v>879</v>
      </c>
      <c r="D16" s="73" t="s">
        <v>879</v>
      </c>
      <c r="E16" s="73" t="s">
        <v>879</v>
      </c>
      <c r="F16" s="73" t="s">
        <v>879</v>
      </c>
      <c r="G16" s="73" t="s">
        <v>879</v>
      </c>
      <c r="H16" s="73" t="s">
        <v>879</v>
      </c>
      <c r="I16" s="73" t="s">
        <v>879</v>
      </c>
      <c r="J16" s="72"/>
    </row>
    <row r="17" spans="1:10" ht="12.75">
      <c r="A17" s="72" t="s">
        <v>17</v>
      </c>
      <c r="B17" s="74" t="s">
        <v>1359</v>
      </c>
      <c r="C17" s="74" t="s">
        <v>1363</v>
      </c>
      <c r="D17" s="74" t="s">
        <v>879</v>
      </c>
      <c r="E17" s="74" t="s">
        <v>879</v>
      </c>
      <c r="F17" s="74" t="s">
        <v>879</v>
      </c>
      <c r="G17" s="74" t="s">
        <v>879</v>
      </c>
      <c r="H17" s="74" t="s">
        <v>879</v>
      </c>
      <c r="I17" s="74" t="s">
        <v>879</v>
      </c>
      <c r="J17" s="72"/>
    </row>
    <row r="18" spans="1:10" ht="12.75">
      <c r="A18" s="72" t="s">
        <v>88</v>
      </c>
      <c r="B18" s="73" t="s">
        <v>879</v>
      </c>
      <c r="C18" s="73" t="s">
        <v>879</v>
      </c>
      <c r="D18" s="73" t="s">
        <v>879</v>
      </c>
      <c r="E18" s="73" t="s">
        <v>879</v>
      </c>
      <c r="F18" s="73" t="s">
        <v>879</v>
      </c>
      <c r="G18" s="73" t="s">
        <v>879</v>
      </c>
      <c r="H18" s="73" t="s">
        <v>879</v>
      </c>
      <c r="I18" s="73" t="s">
        <v>879</v>
      </c>
      <c r="J18" s="72"/>
    </row>
    <row r="19" spans="1:10" ht="12.75">
      <c r="A19" s="72" t="s">
        <v>93</v>
      </c>
      <c r="B19" s="73" t="s">
        <v>879</v>
      </c>
      <c r="C19" s="73" t="s">
        <v>879</v>
      </c>
      <c r="D19" s="73" t="s">
        <v>879</v>
      </c>
      <c r="E19" s="73" t="s">
        <v>879</v>
      </c>
      <c r="F19" s="73" t="s">
        <v>879</v>
      </c>
      <c r="G19" s="73" t="s">
        <v>879</v>
      </c>
      <c r="H19" s="73" t="s">
        <v>879</v>
      </c>
      <c r="I19" s="73" t="s">
        <v>879</v>
      </c>
      <c r="J19" s="72"/>
    </row>
    <row r="20" spans="1:10" ht="12.75">
      <c r="A20" s="19" t="s">
        <v>19</v>
      </c>
      <c r="B20" s="87" t="s">
        <v>28</v>
      </c>
      <c r="C20" s="87" t="s">
        <v>28</v>
      </c>
      <c r="D20" s="87" t="s">
        <v>879</v>
      </c>
      <c r="E20" s="87" t="s">
        <v>879</v>
      </c>
      <c r="F20" s="87" t="s">
        <v>879</v>
      </c>
      <c r="G20" s="87" t="s">
        <v>879</v>
      </c>
      <c r="H20" s="87" t="s">
        <v>879</v>
      </c>
      <c r="I20" s="87" t="s">
        <v>879</v>
      </c>
      <c r="J20" s="23" t="s">
        <v>510</v>
      </c>
    </row>
    <row r="21" spans="1:10" ht="12.75">
      <c r="A21" s="19" t="s">
        <v>420</v>
      </c>
      <c r="B21" s="87" t="s">
        <v>879</v>
      </c>
      <c r="C21" s="87" t="s">
        <v>879</v>
      </c>
      <c r="D21" s="87" t="s">
        <v>879</v>
      </c>
      <c r="E21" s="87" t="s">
        <v>879</v>
      </c>
      <c r="F21" s="87" t="s">
        <v>879</v>
      </c>
      <c r="G21" s="87" t="s">
        <v>879</v>
      </c>
      <c r="H21" s="87" t="s">
        <v>879</v>
      </c>
      <c r="I21" s="87" t="s">
        <v>879</v>
      </c>
      <c r="J21" s="5"/>
    </row>
    <row r="22" spans="1:10" ht="12.75">
      <c r="A22" s="19" t="s">
        <v>421</v>
      </c>
      <c r="B22" s="87" t="s">
        <v>879</v>
      </c>
      <c r="C22" s="87" t="s">
        <v>879</v>
      </c>
      <c r="D22" s="87" t="s">
        <v>879</v>
      </c>
      <c r="E22" s="87" t="s">
        <v>879</v>
      </c>
      <c r="F22" s="87" t="s">
        <v>879</v>
      </c>
      <c r="G22" s="87" t="s">
        <v>879</v>
      </c>
      <c r="H22" s="87" t="s">
        <v>879</v>
      </c>
      <c r="I22" s="87" t="s">
        <v>879</v>
      </c>
      <c r="J22" s="23"/>
    </row>
    <row r="23" spans="1:10" ht="12.75">
      <c r="A23" s="19" t="s">
        <v>424</v>
      </c>
      <c r="B23" s="87" t="s">
        <v>879</v>
      </c>
      <c r="C23" s="87" t="s">
        <v>879</v>
      </c>
      <c r="D23" s="87" t="s">
        <v>879</v>
      </c>
      <c r="E23" s="87" t="s">
        <v>879</v>
      </c>
      <c r="F23" s="87" t="s">
        <v>879</v>
      </c>
      <c r="G23" s="87" t="s">
        <v>879</v>
      </c>
      <c r="H23" s="87" t="s">
        <v>879</v>
      </c>
      <c r="I23" s="87" t="s">
        <v>879</v>
      </c>
      <c r="J23" s="5"/>
    </row>
    <row r="24" spans="1:10" ht="12.75">
      <c r="A24" s="19" t="s">
        <v>474</v>
      </c>
      <c r="B24" s="87" t="s">
        <v>879</v>
      </c>
      <c r="C24" s="87" t="s">
        <v>879</v>
      </c>
      <c r="D24" s="87" t="s">
        <v>879</v>
      </c>
      <c r="E24" s="87" t="s">
        <v>879</v>
      </c>
      <c r="F24" s="87" t="s">
        <v>879</v>
      </c>
      <c r="G24" s="87" t="s">
        <v>879</v>
      </c>
      <c r="H24" s="87" t="s">
        <v>879</v>
      </c>
      <c r="I24" s="87" t="s">
        <v>879</v>
      </c>
      <c r="J24" s="5"/>
    </row>
    <row r="25" spans="1:10" ht="12.75">
      <c r="A25" s="19" t="s">
        <v>473</v>
      </c>
      <c r="B25" s="87" t="s">
        <v>879</v>
      </c>
      <c r="C25" s="87" t="s">
        <v>879</v>
      </c>
      <c r="D25" s="87" t="s">
        <v>879</v>
      </c>
      <c r="E25" s="87" t="s">
        <v>879</v>
      </c>
      <c r="F25" s="87" t="s">
        <v>879</v>
      </c>
      <c r="G25" s="87" t="s">
        <v>879</v>
      </c>
      <c r="H25" s="87" t="s">
        <v>879</v>
      </c>
      <c r="I25" s="87" t="s">
        <v>879</v>
      </c>
      <c r="J25" s="23" t="s">
        <v>510</v>
      </c>
    </row>
    <row r="26" spans="1:10" ht="12.75">
      <c r="A26" s="19" t="s">
        <v>475</v>
      </c>
      <c r="B26" s="87" t="s">
        <v>879</v>
      </c>
      <c r="C26" s="87" t="s">
        <v>879</v>
      </c>
      <c r="D26" s="87" t="s">
        <v>879</v>
      </c>
      <c r="E26" s="87" t="s">
        <v>879</v>
      </c>
      <c r="F26" s="87" t="s">
        <v>879</v>
      </c>
      <c r="G26" s="87" t="s">
        <v>879</v>
      </c>
      <c r="H26" s="87" t="s">
        <v>879</v>
      </c>
      <c r="I26" s="87" t="s">
        <v>879</v>
      </c>
      <c r="J26" s="23"/>
    </row>
    <row r="27" spans="1:10" ht="12.75">
      <c r="A27" s="19" t="s">
        <v>493</v>
      </c>
      <c r="B27" s="87" t="s">
        <v>879</v>
      </c>
      <c r="C27" s="87" t="s">
        <v>879</v>
      </c>
      <c r="D27" s="87" t="s">
        <v>879</v>
      </c>
      <c r="E27" s="87" t="s">
        <v>879</v>
      </c>
      <c r="F27" s="87" t="s">
        <v>879</v>
      </c>
      <c r="G27" s="87" t="s">
        <v>879</v>
      </c>
      <c r="H27" s="87" t="s">
        <v>879</v>
      </c>
      <c r="I27" s="87" t="s">
        <v>879</v>
      </c>
      <c r="J27" s="5" t="s">
        <v>423</v>
      </c>
    </row>
    <row r="28" spans="1:10" ht="12.75">
      <c r="A28" s="19" t="s">
        <v>476</v>
      </c>
      <c r="B28" s="87">
        <v>1500</v>
      </c>
      <c r="C28" s="87">
        <v>845</v>
      </c>
      <c r="D28" s="87" t="s">
        <v>879</v>
      </c>
      <c r="E28" s="87" t="s">
        <v>879</v>
      </c>
      <c r="F28" s="87" t="s">
        <v>879</v>
      </c>
      <c r="G28" s="87" t="s">
        <v>879</v>
      </c>
      <c r="H28" s="87" t="s">
        <v>879</v>
      </c>
      <c r="I28" s="87" t="s">
        <v>879</v>
      </c>
      <c r="J28" s="5"/>
    </row>
    <row r="29" spans="1:10" ht="12.75">
      <c r="A29" s="19" t="s">
        <v>477</v>
      </c>
      <c r="B29" s="87" t="s">
        <v>879</v>
      </c>
      <c r="C29" s="87" t="s">
        <v>879</v>
      </c>
      <c r="D29" s="87" t="s">
        <v>879</v>
      </c>
      <c r="E29" s="87" t="s">
        <v>879</v>
      </c>
      <c r="F29" s="87" t="s">
        <v>879</v>
      </c>
      <c r="G29" s="87" t="s">
        <v>879</v>
      </c>
      <c r="H29" s="87" t="s">
        <v>879</v>
      </c>
      <c r="I29" s="87" t="s">
        <v>879</v>
      </c>
      <c r="J29" s="23" t="s">
        <v>427</v>
      </c>
    </row>
    <row r="30" spans="1:10" ht="12.75">
      <c r="A30" s="19" t="s">
        <v>478</v>
      </c>
      <c r="B30" s="87">
        <v>15.94</v>
      </c>
      <c r="C30" s="110">
        <v>17.4</v>
      </c>
      <c r="D30" s="87" t="s">
        <v>879</v>
      </c>
      <c r="E30" s="87" t="s">
        <v>879</v>
      </c>
      <c r="F30" s="87" t="s">
        <v>879</v>
      </c>
      <c r="G30" s="87" t="s">
        <v>879</v>
      </c>
      <c r="H30" s="87" t="s">
        <v>879</v>
      </c>
      <c r="I30" s="87" t="s">
        <v>879</v>
      </c>
      <c r="J30" s="5"/>
    </row>
    <row r="31" spans="1:10" ht="12.75">
      <c r="A31" s="19" t="s">
        <v>479</v>
      </c>
      <c r="B31" s="87">
        <v>14.07</v>
      </c>
      <c r="C31" s="87">
        <v>16.48</v>
      </c>
      <c r="D31" s="87" t="s">
        <v>879</v>
      </c>
      <c r="E31" s="87" t="s">
        <v>879</v>
      </c>
      <c r="F31" s="87" t="s">
        <v>879</v>
      </c>
      <c r="G31" s="87" t="s">
        <v>879</v>
      </c>
      <c r="H31" s="87" t="s">
        <v>879</v>
      </c>
      <c r="I31" s="87" t="s">
        <v>879</v>
      </c>
      <c r="J31" s="5"/>
    </row>
    <row r="32" spans="1:10" ht="12.75">
      <c r="A32" s="19" t="s">
        <v>480</v>
      </c>
      <c r="B32" s="87">
        <v>2</v>
      </c>
      <c r="C32" s="87">
        <v>2</v>
      </c>
      <c r="D32" s="87" t="s">
        <v>879</v>
      </c>
      <c r="E32" s="87" t="s">
        <v>879</v>
      </c>
      <c r="F32" s="87" t="s">
        <v>879</v>
      </c>
      <c r="G32" s="87" t="s">
        <v>879</v>
      </c>
      <c r="H32" s="87" t="s">
        <v>879</v>
      </c>
      <c r="I32" s="87" t="s">
        <v>879</v>
      </c>
      <c r="J32" s="23"/>
    </row>
    <row r="33" spans="1:10" ht="12.75">
      <c r="A33" s="19" t="s">
        <v>481</v>
      </c>
      <c r="B33" s="87">
        <v>2</v>
      </c>
      <c r="C33" s="87">
        <v>2</v>
      </c>
      <c r="D33" s="87" t="s">
        <v>879</v>
      </c>
      <c r="E33" s="87" t="s">
        <v>879</v>
      </c>
      <c r="F33" s="87" t="s">
        <v>879</v>
      </c>
      <c r="G33" s="87" t="s">
        <v>879</v>
      </c>
      <c r="H33" s="87" t="s">
        <v>879</v>
      </c>
      <c r="I33" s="87" t="s">
        <v>879</v>
      </c>
      <c r="J33" s="5"/>
    </row>
    <row r="34" spans="1:10" ht="12.75">
      <c r="A34" s="19" t="s">
        <v>119</v>
      </c>
      <c r="B34" s="107" t="s">
        <v>1337</v>
      </c>
      <c r="C34" s="107" t="s">
        <v>1337</v>
      </c>
      <c r="D34" s="87" t="s">
        <v>879</v>
      </c>
      <c r="E34" s="87" t="s">
        <v>879</v>
      </c>
      <c r="F34" s="87" t="s">
        <v>879</v>
      </c>
      <c r="G34" s="87" t="s">
        <v>879</v>
      </c>
      <c r="H34" s="87" t="s">
        <v>879</v>
      </c>
      <c r="I34" s="87" t="s">
        <v>879</v>
      </c>
      <c r="J34" s="5"/>
    </row>
    <row r="35" spans="1:10" ht="12.75">
      <c r="A35" s="19" t="s">
        <v>482</v>
      </c>
      <c r="B35" s="87" t="s">
        <v>879</v>
      </c>
      <c r="C35" s="87" t="s">
        <v>879</v>
      </c>
      <c r="D35" s="87" t="s">
        <v>879</v>
      </c>
      <c r="E35" s="87" t="s">
        <v>879</v>
      </c>
      <c r="F35" s="87" t="s">
        <v>879</v>
      </c>
      <c r="G35" s="87" t="s">
        <v>879</v>
      </c>
      <c r="H35" s="87" t="s">
        <v>879</v>
      </c>
      <c r="I35" s="87" t="s">
        <v>879</v>
      </c>
      <c r="J35" s="23"/>
    </row>
    <row r="36" spans="1:10" ht="12.75">
      <c r="A36" s="19" t="s">
        <v>483</v>
      </c>
      <c r="B36" s="87">
        <v>1</v>
      </c>
      <c r="C36" s="87">
        <v>2</v>
      </c>
      <c r="D36" s="87" t="s">
        <v>879</v>
      </c>
      <c r="E36" s="87" t="s">
        <v>879</v>
      </c>
      <c r="F36" s="87" t="s">
        <v>879</v>
      </c>
      <c r="G36" s="87" t="s">
        <v>879</v>
      </c>
      <c r="H36" s="87" t="s">
        <v>879</v>
      </c>
      <c r="I36" s="87" t="s">
        <v>879</v>
      </c>
      <c r="J36" s="5"/>
    </row>
    <row r="37" spans="1:10" ht="12.75">
      <c r="A37" s="19" t="s">
        <v>484</v>
      </c>
      <c r="B37" s="107" t="s">
        <v>1361</v>
      </c>
      <c r="C37" s="107" t="s">
        <v>1362</v>
      </c>
      <c r="D37" s="87" t="s">
        <v>879</v>
      </c>
      <c r="E37" s="87" t="s">
        <v>879</v>
      </c>
      <c r="F37" s="87" t="s">
        <v>879</v>
      </c>
      <c r="G37" s="87" t="s">
        <v>879</v>
      </c>
      <c r="H37" s="87" t="s">
        <v>879</v>
      </c>
      <c r="I37" s="87" t="s">
        <v>879</v>
      </c>
      <c r="J37" s="5"/>
    </row>
    <row r="38" spans="1:10" ht="12.75">
      <c r="A38" s="19" t="s">
        <v>485</v>
      </c>
      <c r="B38" s="87" t="s">
        <v>879</v>
      </c>
      <c r="C38" s="87" t="s">
        <v>879</v>
      </c>
      <c r="D38" s="87" t="s">
        <v>879</v>
      </c>
      <c r="E38" s="87" t="s">
        <v>879</v>
      </c>
      <c r="F38" s="87" t="s">
        <v>879</v>
      </c>
      <c r="G38" s="87" t="s">
        <v>879</v>
      </c>
      <c r="H38" s="87" t="s">
        <v>879</v>
      </c>
      <c r="I38" s="87" t="s">
        <v>879</v>
      </c>
      <c r="J38" s="23"/>
    </row>
    <row r="39" ht="12.75">
      <c r="J39" s="1"/>
    </row>
    <row r="40" spans="1:10" ht="25.5">
      <c r="A40" s="76" t="s">
        <v>1252</v>
      </c>
      <c r="B40" s="74"/>
      <c r="C40" s="74"/>
      <c r="D40" s="74"/>
      <c r="E40" s="74"/>
      <c r="F40" s="74"/>
      <c r="G40" s="74"/>
      <c r="H40" s="74"/>
      <c r="I40" s="74"/>
      <c r="J40" s="23" t="s">
        <v>510</v>
      </c>
    </row>
    <row r="41" spans="1:10" ht="25.5">
      <c r="A41" s="76" t="s">
        <v>1253</v>
      </c>
      <c r="B41" s="74"/>
      <c r="C41" s="74"/>
      <c r="D41" s="74"/>
      <c r="E41" s="74"/>
      <c r="F41" s="74"/>
      <c r="G41" s="74"/>
      <c r="H41" s="74"/>
      <c r="I41" s="74"/>
      <c r="J41" s="23" t="s">
        <v>510</v>
      </c>
    </row>
    <row r="42" spans="1:10" ht="12.75">
      <c r="A42" s="76" t="s">
        <v>1254</v>
      </c>
      <c r="B42" s="74"/>
      <c r="C42" s="74"/>
      <c r="D42" s="74"/>
      <c r="E42" s="74"/>
      <c r="F42" s="74"/>
      <c r="G42" s="74"/>
      <c r="H42" s="74"/>
      <c r="I42" s="74"/>
      <c r="J42" s="23" t="s">
        <v>510</v>
      </c>
    </row>
    <row r="43" spans="1:10" ht="38.25">
      <c r="A43" s="76" t="s">
        <v>1255</v>
      </c>
      <c r="B43" s="74"/>
      <c r="C43" s="74"/>
      <c r="D43" s="74"/>
      <c r="E43" s="74"/>
      <c r="F43" s="74"/>
      <c r="G43" s="74"/>
      <c r="H43" s="74"/>
      <c r="I43" s="74"/>
      <c r="J43" s="23" t="s">
        <v>510</v>
      </c>
    </row>
    <row r="44" spans="1:10" ht="51">
      <c r="A44" s="76" t="s">
        <v>1256</v>
      </c>
      <c r="B44" s="74"/>
      <c r="C44" s="74"/>
      <c r="D44" s="74"/>
      <c r="E44" s="74"/>
      <c r="F44" s="74"/>
      <c r="G44" s="74"/>
      <c r="H44" s="74"/>
      <c r="I44" s="74"/>
      <c r="J44" s="23" t="s">
        <v>510</v>
      </c>
    </row>
    <row r="45" spans="1:10" ht="51">
      <c r="A45" s="76" t="s">
        <v>1257</v>
      </c>
      <c r="B45" s="74"/>
      <c r="C45" s="74"/>
      <c r="D45" s="74"/>
      <c r="E45" s="74"/>
      <c r="F45" s="74"/>
      <c r="G45" s="74"/>
      <c r="H45" s="74"/>
      <c r="I45" s="74"/>
      <c r="J45" s="23" t="s">
        <v>510</v>
      </c>
    </row>
    <row r="46" spans="1:10" ht="25.5">
      <c r="A46" s="76" t="s">
        <v>1258</v>
      </c>
      <c r="B46" s="74"/>
      <c r="C46" s="74"/>
      <c r="D46" s="74"/>
      <c r="E46" s="74"/>
      <c r="F46" s="74"/>
      <c r="G46" s="74"/>
      <c r="H46" s="74"/>
      <c r="I46" s="74"/>
      <c r="J46" s="23"/>
    </row>
    <row r="47" spans="3:9" ht="12.75">
      <c r="C47" s="1"/>
      <c r="D47" s="1"/>
      <c r="E47" s="1"/>
      <c r="F47" s="1"/>
      <c r="G47" s="1"/>
      <c r="H47" s="1"/>
      <c r="I47" s="1"/>
    </row>
    <row r="48" spans="1:10" ht="12.75">
      <c r="A48" s="120" t="s">
        <v>154</v>
      </c>
      <c r="B48" s="120"/>
      <c r="C48" s="120"/>
      <c r="D48" s="120"/>
      <c r="E48" s="120"/>
      <c r="F48" s="120"/>
      <c r="G48" s="120"/>
      <c r="H48" s="120"/>
      <c r="I48" s="120"/>
      <c r="J48" s="120"/>
    </row>
    <row r="49" spans="1:10" ht="12.75">
      <c r="A49" s="131"/>
      <c r="B49" s="131"/>
      <c r="C49" s="131"/>
      <c r="D49" s="131"/>
      <c r="E49" s="131"/>
      <c r="F49" s="131"/>
      <c r="G49" s="131"/>
      <c r="H49" s="131"/>
      <c r="I49" s="131"/>
      <c r="J49" s="131"/>
    </row>
    <row r="50" spans="1:10" ht="12.75">
      <c r="A50" s="131"/>
      <c r="B50" s="131"/>
      <c r="C50" s="131"/>
      <c r="D50" s="131"/>
      <c r="E50" s="131"/>
      <c r="F50" s="131"/>
      <c r="G50" s="131"/>
      <c r="H50" s="131"/>
      <c r="I50" s="131"/>
      <c r="J50" s="131"/>
    </row>
    <row r="51" spans="1:10" ht="12.75">
      <c r="A51" s="131"/>
      <c r="B51" s="131"/>
      <c r="C51" s="131"/>
      <c r="D51" s="131"/>
      <c r="E51" s="131"/>
      <c r="F51" s="131"/>
      <c r="G51" s="131"/>
      <c r="H51" s="131"/>
      <c r="I51" s="131"/>
      <c r="J51" s="131"/>
    </row>
    <row r="52" spans="1:10" ht="12.75">
      <c r="A52" s="131"/>
      <c r="B52" s="131"/>
      <c r="C52" s="131"/>
      <c r="D52" s="131"/>
      <c r="E52" s="131"/>
      <c r="F52" s="131"/>
      <c r="G52" s="131"/>
      <c r="H52" s="131"/>
      <c r="I52" s="131"/>
      <c r="J52" s="131"/>
    </row>
    <row r="53" spans="1:10" ht="12.75">
      <c r="A53" s="131"/>
      <c r="B53" s="131"/>
      <c r="C53" s="131"/>
      <c r="D53" s="131"/>
      <c r="E53" s="131"/>
      <c r="F53" s="131"/>
      <c r="G53" s="131"/>
      <c r="H53" s="131"/>
      <c r="I53" s="131"/>
      <c r="J53" s="131"/>
    </row>
    <row r="54" spans="1:10" ht="12.75">
      <c r="A54" s="131"/>
      <c r="B54" s="131"/>
      <c r="C54" s="131"/>
      <c r="D54" s="131"/>
      <c r="E54" s="131"/>
      <c r="F54" s="131"/>
      <c r="G54" s="131"/>
      <c r="H54" s="131"/>
      <c r="I54" s="131"/>
      <c r="J54" s="131"/>
    </row>
    <row r="55" spans="1:10" ht="12.75">
      <c r="A55" s="131"/>
      <c r="B55" s="131"/>
      <c r="C55" s="131"/>
      <c r="D55" s="131"/>
      <c r="E55" s="131"/>
      <c r="F55" s="131"/>
      <c r="G55" s="131"/>
      <c r="H55" s="131"/>
      <c r="I55" s="131"/>
      <c r="J55" s="131"/>
    </row>
    <row r="56" spans="1:10" ht="12.75">
      <c r="A56" s="131"/>
      <c r="B56" s="131"/>
      <c r="C56" s="131"/>
      <c r="D56" s="131"/>
      <c r="E56" s="131"/>
      <c r="F56" s="131"/>
      <c r="G56" s="131"/>
      <c r="H56" s="131"/>
      <c r="I56" s="131"/>
      <c r="J56" s="131"/>
    </row>
    <row r="57" spans="1:10" ht="12.75">
      <c r="A57" s="131"/>
      <c r="B57" s="131"/>
      <c r="C57" s="131"/>
      <c r="D57" s="131"/>
      <c r="E57" s="131"/>
      <c r="F57" s="131"/>
      <c r="G57" s="131"/>
      <c r="H57" s="131"/>
      <c r="I57" s="131"/>
      <c r="J57" s="131"/>
    </row>
    <row r="58" spans="1:10" ht="12.75">
      <c r="A58" s="131"/>
      <c r="B58" s="131"/>
      <c r="C58" s="131"/>
      <c r="D58" s="131"/>
      <c r="E58" s="131"/>
      <c r="F58" s="131"/>
      <c r="G58" s="131"/>
      <c r="H58" s="131"/>
      <c r="I58" s="131"/>
      <c r="J58" s="131"/>
    </row>
  </sheetData>
  <mergeCells count="2">
    <mergeCell ref="A48:J48"/>
    <mergeCell ref="A49:J58"/>
  </mergeCells>
  <dataValidations count="8">
    <dataValidation type="list" allowBlank="1" showInputMessage="1" showErrorMessage="1" sqref="B40:I45">
      <formula1>YES_NO</formula1>
    </dataValidation>
    <dataValidation errorStyle="warning" type="list" allowBlank="1" showInputMessage="1" showErrorMessage="1" sqref="B5:I5">
      <formula1>Maintenance_Plant</formula1>
    </dataValidation>
    <dataValidation errorStyle="warning" type="list" allowBlank="1" showInputMessage="1" showErrorMessage="1" sqref="B6:I6">
      <formula1>Area_Level_3</formula1>
    </dataValidation>
    <dataValidation errorStyle="warning" type="list" allowBlank="1" showInputMessage="1" showErrorMessage="1" sqref="B7:I7">
      <formula1>Type_of_Facility</formula1>
    </dataValidation>
    <dataValidation errorStyle="warning" type="list" allowBlank="1" showInputMessage="1" showErrorMessage="1" sqref="B10:I10">
      <formula1>Process</formula1>
    </dataValidation>
    <dataValidation errorStyle="warning" type="list" allowBlank="1" showInputMessage="1" showErrorMessage="1" sqref="B13:I13">
      <formula1>STATUS</formula1>
    </dataValidation>
    <dataValidation errorStyle="warning" type="list" allowBlank="1" showInputMessage="1" showErrorMessage="1" sqref="B25:I25">
      <formula1>YES_NO</formula1>
    </dataValidation>
    <dataValidation errorStyle="warning" type="list" allowBlank="1" showInputMessage="1" showErrorMessage="1" sqref="B20:I20">
      <formula1>Controllable_Asset_Indicator</formula1>
    </dataValidation>
  </dataValidations>
  <hyperlinks>
    <hyperlink ref="L4" location="ca_9707" display="Home Pkg Page"/>
  </hyperlinks>
  <printOptions horizontalCentered="1"/>
  <pageMargins left="0.75" right="0.75" top="0.5" bottom="1" header="0.25" footer="0.5"/>
  <pageSetup fitToHeight="1" fitToWidth="1" horizontalDpi="600" verticalDpi="600" orientation="portrait" scale="45" r:id="rId3"/>
  <headerFooter alignWithMargins="0">
    <oddFooter>&amp;L&amp;F&amp;C&amp;P of &amp;N&amp;R&amp;A</oddFooter>
  </headerFooter>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I5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D12" sqref="D12"/>
    </sheetView>
  </sheetViews>
  <sheetFormatPr defaultColWidth="9.140625" defaultRowHeight="12.75"/>
  <cols>
    <col min="1" max="1" width="36.00390625" style="1" bestFit="1" customWidth="1"/>
    <col min="2" max="6" width="36.140625" style="75" customWidth="1"/>
    <col min="7" max="7" width="34.57421875" style="1" bestFit="1" customWidth="1"/>
    <col min="9" max="9" width="22.421875" style="0" bestFit="1" customWidth="1"/>
  </cols>
  <sheetData>
    <row r="1" spans="1:9" ht="12.75">
      <c r="A1" s="71" t="s">
        <v>0</v>
      </c>
      <c r="B1" s="71" t="s">
        <v>1</v>
      </c>
      <c r="C1" s="71" t="s">
        <v>1</v>
      </c>
      <c r="D1" s="71" t="s">
        <v>1</v>
      </c>
      <c r="E1" s="71" t="s">
        <v>1</v>
      </c>
      <c r="F1" s="71" t="s">
        <v>1</v>
      </c>
      <c r="G1" s="71" t="s">
        <v>2</v>
      </c>
      <c r="I1" s="70" t="s">
        <v>1302</v>
      </c>
    </row>
    <row r="2" spans="1:9" ht="12.75">
      <c r="A2" s="72" t="s">
        <v>3</v>
      </c>
      <c r="B2" s="3"/>
      <c r="C2" s="3"/>
      <c r="D2" s="3"/>
      <c r="E2" s="3"/>
      <c r="F2" s="3"/>
      <c r="G2" s="72"/>
      <c r="I2" s="84" t="s">
        <v>1334</v>
      </c>
    </row>
    <row r="3" spans="1:7" ht="12.75">
      <c r="A3" s="72" t="s">
        <v>4</v>
      </c>
      <c r="B3" s="4" t="s">
        <v>297</v>
      </c>
      <c r="C3" s="4" t="s">
        <v>297</v>
      </c>
      <c r="D3" s="4" t="s">
        <v>297</v>
      </c>
      <c r="E3" s="4" t="s">
        <v>297</v>
      </c>
      <c r="F3" s="4" t="s">
        <v>297</v>
      </c>
      <c r="G3" s="23"/>
    </row>
    <row r="4" spans="1:9" ht="12.75">
      <c r="A4" s="72" t="s">
        <v>6</v>
      </c>
      <c r="B4" s="4" t="s">
        <v>1365</v>
      </c>
      <c r="C4" s="4" t="s">
        <v>1364</v>
      </c>
      <c r="D4" s="4" t="s">
        <v>1375</v>
      </c>
      <c r="E4" s="4"/>
      <c r="F4" s="4"/>
      <c r="G4" s="72"/>
      <c r="I4" s="92" t="s">
        <v>1307</v>
      </c>
    </row>
    <row r="5" spans="1:7" ht="12.75">
      <c r="A5" s="72" t="s">
        <v>7</v>
      </c>
      <c r="B5" s="4" t="str">
        <f>+'9707 Compressor Pkg'!B5</f>
        <v>CAD_Peco</v>
      </c>
      <c r="C5" s="4" t="str">
        <f aca="true" t="shared" si="0" ref="C5:F11">+B5</f>
        <v>CAD_Peco</v>
      </c>
      <c r="D5" s="4" t="str">
        <f t="shared" si="0"/>
        <v>CAD_Peco</v>
      </c>
      <c r="E5" s="4" t="str">
        <f t="shared" si="0"/>
        <v>CAD_Peco</v>
      </c>
      <c r="F5" s="4" t="str">
        <f t="shared" si="0"/>
        <v>CAD_Peco</v>
      </c>
      <c r="G5" s="23" t="s">
        <v>510</v>
      </c>
    </row>
    <row r="6" spans="1:7" ht="12.75">
      <c r="A6" s="72" t="s">
        <v>509</v>
      </c>
      <c r="B6" s="4" t="str">
        <f>+'9707 Compressor Pkg'!B6</f>
        <v>PECO_Peco</v>
      </c>
      <c r="C6" s="4" t="str">
        <f t="shared" si="0"/>
        <v>PECO_Peco</v>
      </c>
      <c r="D6" s="4" t="str">
        <f t="shared" si="0"/>
        <v>PECO_Peco</v>
      </c>
      <c r="E6" s="4" t="str">
        <f t="shared" si="0"/>
        <v>PECO_Peco</v>
      </c>
      <c r="F6" s="4" t="str">
        <f t="shared" si="0"/>
        <v>PECO_Peco</v>
      </c>
      <c r="G6" s="23" t="s">
        <v>510</v>
      </c>
    </row>
    <row r="7" spans="1:7" ht="12.75">
      <c r="A7" s="72" t="s">
        <v>8</v>
      </c>
      <c r="B7" s="4" t="str">
        <f>+'9707 Compressor Pkg'!B7</f>
        <v>CMP_Compressor Station </v>
      </c>
      <c r="C7" s="4" t="str">
        <f t="shared" si="0"/>
        <v>CMP_Compressor Station </v>
      </c>
      <c r="D7" s="4" t="str">
        <f t="shared" si="0"/>
        <v>CMP_Compressor Station </v>
      </c>
      <c r="E7" s="4" t="str">
        <f t="shared" si="0"/>
        <v>CMP_Compressor Station </v>
      </c>
      <c r="F7" s="4" t="str">
        <f t="shared" si="0"/>
        <v>CMP_Compressor Station </v>
      </c>
      <c r="G7" s="23" t="s">
        <v>510</v>
      </c>
    </row>
    <row r="8" spans="1:7" ht="12.75">
      <c r="A8" s="72" t="s">
        <v>9</v>
      </c>
      <c r="B8" s="4">
        <f>+'9707 Compressor Pkg'!B8</f>
        <v>0</v>
      </c>
      <c r="C8" s="4">
        <f t="shared" si="0"/>
        <v>0</v>
      </c>
      <c r="D8" s="4">
        <f t="shared" si="0"/>
        <v>0</v>
      </c>
      <c r="E8" s="4">
        <f t="shared" si="0"/>
        <v>0</v>
      </c>
      <c r="F8" s="4">
        <f t="shared" si="0"/>
        <v>0</v>
      </c>
      <c r="G8" s="72"/>
    </row>
    <row r="9" spans="1:7" ht="12.75">
      <c r="A9" s="72" t="s">
        <v>10</v>
      </c>
      <c r="B9" s="4" t="str">
        <f>+'9707 Compressor Pkg'!B9</f>
        <v>100/06-21-048-16W5/00</v>
      </c>
      <c r="C9" s="4" t="str">
        <f t="shared" si="0"/>
        <v>100/06-21-048-16W5/00</v>
      </c>
      <c r="D9" s="4" t="str">
        <f t="shared" si="0"/>
        <v>100/06-21-048-16W5/00</v>
      </c>
      <c r="E9" s="4" t="str">
        <f t="shared" si="0"/>
        <v>100/06-21-048-16W5/00</v>
      </c>
      <c r="F9" s="4" t="str">
        <f t="shared" si="0"/>
        <v>100/06-21-048-16W5/00</v>
      </c>
      <c r="G9" s="72"/>
    </row>
    <row r="10" spans="1:7" ht="12.75">
      <c r="A10" s="72" t="s">
        <v>11</v>
      </c>
      <c r="B10" s="4" t="str">
        <f>+'9707 Compressor Pkg'!B10</f>
        <v>CMP1_Compression</v>
      </c>
      <c r="C10" s="4" t="str">
        <f t="shared" si="0"/>
        <v>CMP1_Compression</v>
      </c>
      <c r="D10" s="4" t="str">
        <f t="shared" si="0"/>
        <v>CMP1_Compression</v>
      </c>
      <c r="E10" s="4" t="str">
        <f t="shared" si="0"/>
        <v>CMP1_Compression</v>
      </c>
      <c r="F10" s="4" t="str">
        <f t="shared" si="0"/>
        <v>CMP1_Compression</v>
      </c>
      <c r="G10" s="23" t="s">
        <v>510</v>
      </c>
    </row>
    <row r="11" spans="1:7" ht="12.75">
      <c r="A11" s="72" t="s">
        <v>12</v>
      </c>
      <c r="B11" s="2" t="str">
        <f>+'9707 Compressor Pkg'!B11</f>
        <v>VCCF008230</v>
      </c>
      <c r="C11" s="2" t="str">
        <f t="shared" si="0"/>
        <v>VCCF008230</v>
      </c>
      <c r="D11" s="2" t="str">
        <f t="shared" si="0"/>
        <v>VCCF008230</v>
      </c>
      <c r="E11" s="2" t="str">
        <f t="shared" si="0"/>
        <v>VCCF008230</v>
      </c>
      <c r="F11" s="2" t="str">
        <f t="shared" si="0"/>
        <v>VCCF008230</v>
      </c>
      <c r="G11" s="72"/>
    </row>
    <row r="12" spans="1:7" ht="12.75">
      <c r="A12" s="72" t="s">
        <v>13</v>
      </c>
      <c r="B12" s="3">
        <v>10703885</v>
      </c>
      <c r="C12" s="3">
        <v>10703885</v>
      </c>
      <c r="D12" s="3">
        <v>10703885</v>
      </c>
      <c r="E12" s="3"/>
      <c r="F12" s="3"/>
      <c r="G12" s="72"/>
    </row>
    <row r="13" spans="1:7" ht="12.75">
      <c r="A13" s="72" t="s">
        <v>491</v>
      </c>
      <c r="B13" s="4" t="str">
        <f>+'9707 Compressor Pkg'!B13</f>
        <v>INAC-Suspended, Shut-in</v>
      </c>
      <c r="C13" s="4" t="str">
        <f>+B13</f>
        <v>INAC-Suspended, Shut-in</v>
      </c>
      <c r="D13" s="4" t="str">
        <f>+C13</f>
        <v>INAC-Suspended, Shut-in</v>
      </c>
      <c r="E13" s="4" t="str">
        <f>+D13</f>
        <v>INAC-Suspended, Shut-in</v>
      </c>
      <c r="F13" s="4" t="str">
        <f>+E13</f>
        <v>INAC-Suspended, Shut-in</v>
      </c>
      <c r="G13" s="23" t="s">
        <v>510</v>
      </c>
    </row>
    <row r="14" spans="1:7" ht="12.75">
      <c r="A14" s="72" t="s">
        <v>14</v>
      </c>
      <c r="B14" s="2" t="s">
        <v>1366</v>
      </c>
      <c r="C14" s="2" t="s">
        <v>1366</v>
      </c>
      <c r="D14" s="2" t="s">
        <v>1366</v>
      </c>
      <c r="E14" s="2" t="s">
        <v>879</v>
      </c>
      <c r="F14" s="2" t="s">
        <v>879</v>
      </c>
      <c r="G14" s="72"/>
    </row>
    <row r="15" spans="1:7" ht="12.75">
      <c r="A15" s="72" t="s">
        <v>15</v>
      </c>
      <c r="B15" s="2" t="s">
        <v>879</v>
      </c>
      <c r="C15" s="2" t="s">
        <v>879</v>
      </c>
      <c r="D15" s="2" t="s">
        <v>879</v>
      </c>
      <c r="E15" s="2" t="s">
        <v>879</v>
      </c>
      <c r="F15" s="2" t="s">
        <v>879</v>
      </c>
      <c r="G15" s="72"/>
    </row>
    <row r="16" spans="1:7" ht="12.75">
      <c r="A16" s="72" t="s">
        <v>16</v>
      </c>
      <c r="B16" s="73" t="s">
        <v>1367</v>
      </c>
      <c r="C16" s="73" t="s">
        <v>1368</v>
      </c>
      <c r="D16" s="73" t="s">
        <v>879</v>
      </c>
      <c r="E16" s="73" t="s">
        <v>879</v>
      </c>
      <c r="F16" s="73" t="s">
        <v>879</v>
      </c>
      <c r="G16" s="72"/>
    </row>
    <row r="17" spans="1:7" ht="12.75">
      <c r="A17" s="72" t="s">
        <v>17</v>
      </c>
      <c r="B17" s="74">
        <v>8878.01</v>
      </c>
      <c r="C17" s="74">
        <v>8878.02</v>
      </c>
      <c r="D17" s="74">
        <v>88611.4</v>
      </c>
      <c r="E17" s="74" t="s">
        <v>879</v>
      </c>
      <c r="F17" s="74" t="s">
        <v>879</v>
      </c>
      <c r="G17" s="72"/>
    </row>
    <row r="18" spans="1:7" ht="12.75">
      <c r="A18" s="72" t="s">
        <v>88</v>
      </c>
      <c r="B18" s="73" t="s">
        <v>879</v>
      </c>
      <c r="C18" s="73" t="s">
        <v>879</v>
      </c>
      <c r="D18" s="73" t="s">
        <v>879</v>
      </c>
      <c r="E18" s="73" t="s">
        <v>879</v>
      </c>
      <c r="F18" s="73" t="s">
        <v>879</v>
      </c>
      <c r="G18" s="72"/>
    </row>
    <row r="19" spans="1:7" ht="12.75">
      <c r="A19" s="72" t="s">
        <v>93</v>
      </c>
      <c r="B19" s="73" t="s">
        <v>879</v>
      </c>
      <c r="C19" s="73" t="s">
        <v>879</v>
      </c>
      <c r="D19" s="73" t="s">
        <v>879</v>
      </c>
      <c r="E19" s="73" t="s">
        <v>879</v>
      </c>
      <c r="F19" s="73" t="s">
        <v>879</v>
      </c>
      <c r="G19" s="72"/>
    </row>
    <row r="20" spans="1:7" ht="12.75">
      <c r="A20" s="19" t="s">
        <v>19</v>
      </c>
      <c r="B20" s="87" t="s">
        <v>28</v>
      </c>
      <c r="C20" s="87" t="s">
        <v>28</v>
      </c>
      <c r="D20" s="87" t="s">
        <v>28</v>
      </c>
      <c r="E20" s="87" t="s">
        <v>879</v>
      </c>
      <c r="F20" s="87" t="s">
        <v>879</v>
      </c>
      <c r="G20" s="23" t="s">
        <v>510</v>
      </c>
    </row>
    <row r="21" spans="1:7" ht="12.75">
      <c r="A21" s="19" t="s">
        <v>420</v>
      </c>
      <c r="B21" s="87" t="s">
        <v>879</v>
      </c>
      <c r="C21" s="87" t="s">
        <v>879</v>
      </c>
      <c r="D21" s="87" t="s">
        <v>879</v>
      </c>
      <c r="E21" s="87" t="s">
        <v>879</v>
      </c>
      <c r="F21" s="87" t="s">
        <v>879</v>
      </c>
      <c r="G21" s="23"/>
    </row>
    <row r="22" spans="1:7" ht="12.75">
      <c r="A22" s="19" t="s">
        <v>421</v>
      </c>
      <c r="B22" s="87" t="s">
        <v>879</v>
      </c>
      <c r="C22" s="87" t="s">
        <v>879</v>
      </c>
      <c r="D22" s="87" t="s">
        <v>879</v>
      </c>
      <c r="E22" s="87" t="s">
        <v>879</v>
      </c>
      <c r="F22" s="87" t="s">
        <v>879</v>
      </c>
      <c r="G22" s="23"/>
    </row>
    <row r="23" spans="1:7" ht="12.75">
      <c r="A23" s="19" t="s">
        <v>422</v>
      </c>
      <c r="B23" s="87" t="s">
        <v>879</v>
      </c>
      <c r="C23" s="87" t="s">
        <v>879</v>
      </c>
      <c r="D23" s="87" t="s">
        <v>879</v>
      </c>
      <c r="E23" s="87" t="s">
        <v>879</v>
      </c>
      <c r="F23" s="87" t="s">
        <v>879</v>
      </c>
      <c r="G23" s="23"/>
    </row>
    <row r="24" spans="1:7" ht="12.75">
      <c r="A24" s="19" t="s">
        <v>492</v>
      </c>
      <c r="B24" s="87" t="s">
        <v>879</v>
      </c>
      <c r="C24" s="87" t="s">
        <v>879</v>
      </c>
      <c r="D24" s="87" t="s">
        <v>879</v>
      </c>
      <c r="E24" s="87" t="s">
        <v>879</v>
      </c>
      <c r="F24" s="87" t="s">
        <v>879</v>
      </c>
      <c r="G24" s="23" t="s">
        <v>510</v>
      </c>
    </row>
    <row r="25" spans="1:7" ht="12.75">
      <c r="A25" s="19" t="s">
        <v>424</v>
      </c>
      <c r="B25" s="107" t="s">
        <v>1369</v>
      </c>
      <c r="C25" s="107" t="s">
        <v>1370</v>
      </c>
      <c r="D25" s="107" t="s">
        <v>1376</v>
      </c>
      <c r="E25" s="87" t="s">
        <v>879</v>
      </c>
      <c r="F25" s="87" t="s">
        <v>879</v>
      </c>
      <c r="G25" s="23"/>
    </row>
    <row r="26" spans="1:7" ht="12.75">
      <c r="A26" s="19" t="s">
        <v>493</v>
      </c>
      <c r="B26" s="87">
        <v>1989</v>
      </c>
      <c r="C26" s="87">
        <v>1989</v>
      </c>
      <c r="D26" s="87">
        <v>1989</v>
      </c>
      <c r="E26" s="87" t="s">
        <v>879</v>
      </c>
      <c r="F26" s="87" t="s">
        <v>879</v>
      </c>
      <c r="G26" s="23" t="s">
        <v>423</v>
      </c>
    </row>
    <row r="27" spans="1:7" ht="12.75">
      <c r="A27" s="19" t="s">
        <v>436</v>
      </c>
      <c r="B27" s="87" t="s">
        <v>879</v>
      </c>
      <c r="C27" s="87" t="s">
        <v>879</v>
      </c>
      <c r="D27" s="87" t="s">
        <v>879</v>
      </c>
      <c r="E27" s="87" t="s">
        <v>879</v>
      </c>
      <c r="F27" s="87" t="s">
        <v>879</v>
      </c>
      <c r="G27" s="23" t="s">
        <v>510</v>
      </c>
    </row>
    <row r="28" spans="1:7" ht="12.75">
      <c r="A28" s="19" t="s">
        <v>426</v>
      </c>
      <c r="B28" s="107" t="s">
        <v>1371</v>
      </c>
      <c r="C28" s="107" t="s">
        <v>1372</v>
      </c>
      <c r="D28" s="107" t="s">
        <v>1377</v>
      </c>
      <c r="E28" s="87" t="s">
        <v>879</v>
      </c>
      <c r="F28" s="87" t="s">
        <v>879</v>
      </c>
      <c r="G28" s="23" t="s">
        <v>427</v>
      </c>
    </row>
    <row r="29" spans="1:7" ht="12.75">
      <c r="A29" s="19" t="s">
        <v>428</v>
      </c>
      <c r="B29" s="87" t="s">
        <v>764</v>
      </c>
      <c r="C29" s="87" t="s">
        <v>764</v>
      </c>
      <c r="D29" s="87" t="s">
        <v>764</v>
      </c>
      <c r="E29" s="87" t="s">
        <v>879</v>
      </c>
      <c r="F29" s="87" t="s">
        <v>879</v>
      </c>
      <c r="G29" s="23" t="s">
        <v>510</v>
      </c>
    </row>
    <row r="30" spans="1:7" ht="12.75">
      <c r="A30" s="19" t="s">
        <v>430</v>
      </c>
      <c r="B30" s="87">
        <v>600</v>
      </c>
      <c r="C30" s="87">
        <v>600</v>
      </c>
      <c r="D30" s="87" t="s">
        <v>879</v>
      </c>
      <c r="E30" s="87" t="s">
        <v>879</v>
      </c>
      <c r="F30" s="87" t="s">
        <v>879</v>
      </c>
      <c r="G30" s="23"/>
    </row>
    <row r="31" spans="1:7" ht="12.75">
      <c r="A31" s="19" t="s">
        <v>495</v>
      </c>
      <c r="B31" s="87" t="s">
        <v>768</v>
      </c>
      <c r="C31" s="87" t="s">
        <v>768</v>
      </c>
      <c r="D31" s="87" t="s">
        <v>879</v>
      </c>
      <c r="E31" s="87" t="s">
        <v>879</v>
      </c>
      <c r="F31" s="87" t="s">
        <v>879</v>
      </c>
      <c r="G31" s="23" t="s">
        <v>510</v>
      </c>
    </row>
    <row r="32" spans="1:7" ht="12.75">
      <c r="A32" s="19" t="s">
        <v>506</v>
      </c>
      <c r="B32" s="87" t="s">
        <v>879</v>
      </c>
      <c r="C32" s="87" t="s">
        <v>879</v>
      </c>
      <c r="D32" s="87" t="s">
        <v>879</v>
      </c>
      <c r="E32" s="87" t="s">
        <v>879</v>
      </c>
      <c r="F32" s="87" t="s">
        <v>879</v>
      </c>
      <c r="G32" s="23" t="s">
        <v>431</v>
      </c>
    </row>
    <row r="33" spans="1:7" ht="12.75">
      <c r="A33" s="19" t="s">
        <v>499</v>
      </c>
      <c r="B33" s="107" t="s">
        <v>1373</v>
      </c>
      <c r="C33" s="107" t="s">
        <v>1374</v>
      </c>
      <c r="D33" s="107" t="s">
        <v>1378</v>
      </c>
      <c r="E33" s="87" t="s">
        <v>879</v>
      </c>
      <c r="F33" s="87" t="s">
        <v>879</v>
      </c>
      <c r="G33" s="23" t="s">
        <v>1280</v>
      </c>
    </row>
    <row r="34" spans="1:7" ht="12.75">
      <c r="A34" s="19" t="s">
        <v>433</v>
      </c>
      <c r="B34" s="87" t="s">
        <v>39</v>
      </c>
      <c r="C34" s="87" t="s">
        <v>39</v>
      </c>
      <c r="D34" s="87" t="s">
        <v>879</v>
      </c>
      <c r="E34" s="87" t="s">
        <v>879</v>
      </c>
      <c r="F34" s="87" t="s">
        <v>879</v>
      </c>
      <c r="G34" s="23" t="s">
        <v>510</v>
      </c>
    </row>
    <row r="35" spans="1:7" ht="12.75">
      <c r="A35" s="19" t="s">
        <v>500</v>
      </c>
      <c r="B35" s="87">
        <v>4378</v>
      </c>
      <c r="C35" s="87">
        <v>2378</v>
      </c>
      <c r="D35" s="87">
        <v>1585</v>
      </c>
      <c r="E35" s="87" t="s">
        <v>879</v>
      </c>
      <c r="F35" s="87" t="s">
        <v>879</v>
      </c>
      <c r="G35" s="23" t="s">
        <v>434</v>
      </c>
    </row>
    <row r="36" spans="1:7" ht="12.75">
      <c r="A36" s="19" t="s">
        <v>502</v>
      </c>
      <c r="B36" s="87">
        <v>150</v>
      </c>
      <c r="C36" s="87">
        <v>150</v>
      </c>
      <c r="D36" s="87">
        <v>150</v>
      </c>
      <c r="E36" s="87" t="s">
        <v>879</v>
      </c>
      <c r="F36" s="87" t="s">
        <v>879</v>
      </c>
      <c r="G36" s="23" t="s">
        <v>435</v>
      </c>
    </row>
    <row r="37" spans="1:7" ht="12.75">
      <c r="A37" s="19" t="s">
        <v>119</v>
      </c>
      <c r="B37" s="107" t="s">
        <v>1337</v>
      </c>
      <c r="C37" s="107" t="s">
        <v>1337</v>
      </c>
      <c r="D37" s="107" t="s">
        <v>1337</v>
      </c>
      <c r="E37" s="87" t="s">
        <v>879</v>
      </c>
      <c r="F37" s="87" t="s">
        <v>879</v>
      </c>
      <c r="G37" s="23"/>
    </row>
    <row r="38" spans="1:7" ht="12.75">
      <c r="A38" s="19" t="s">
        <v>351</v>
      </c>
      <c r="B38" s="87" t="s">
        <v>790</v>
      </c>
      <c r="C38" s="87" t="s">
        <v>790</v>
      </c>
      <c r="D38" s="87" t="s">
        <v>790</v>
      </c>
      <c r="E38" s="87" t="s">
        <v>879</v>
      </c>
      <c r="F38" s="87" t="s">
        <v>879</v>
      </c>
      <c r="G38" s="23" t="s">
        <v>510</v>
      </c>
    </row>
    <row r="39" spans="1:7" ht="12.75">
      <c r="A39" s="19" t="s">
        <v>504</v>
      </c>
      <c r="B39" s="87">
        <v>-29</v>
      </c>
      <c r="C39" s="87">
        <v>-29</v>
      </c>
      <c r="D39" s="87">
        <v>-29</v>
      </c>
      <c r="E39" s="87" t="s">
        <v>879</v>
      </c>
      <c r="F39" s="87" t="s">
        <v>879</v>
      </c>
      <c r="G39" s="23" t="s">
        <v>435</v>
      </c>
    </row>
    <row r="41" spans="1:7" ht="25.5">
      <c r="A41" s="76" t="s">
        <v>1252</v>
      </c>
      <c r="B41" s="74"/>
      <c r="C41" s="74"/>
      <c r="D41" s="74"/>
      <c r="E41" s="74"/>
      <c r="F41" s="74"/>
      <c r="G41" s="23" t="s">
        <v>510</v>
      </c>
    </row>
    <row r="42" spans="1:7" ht="25.5">
      <c r="A42" s="76" t="s">
        <v>1253</v>
      </c>
      <c r="B42" s="74"/>
      <c r="C42" s="74"/>
      <c r="D42" s="74"/>
      <c r="E42" s="74"/>
      <c r="F42" s="74"/>
      <c r="G42" s="23" t="s">
        <v>510</v>
      </c>
    </row>
    <row r="43" spans="1:7" ht="12.75">
      <c r="A43" s="76" t="s">
        <v>1254</v>
      </c>
      <c r="B43" s="74"/>
      <c r="C43" s="74"/>
      <c r="D43" s="74"/>
      <c r="E43" s="74"/>
      <c r="F43" s="74"/>
      <c r="G43" s="23" t="s">
        <v>510</v>
      </c>
    </row>
    <row r="44" spans="1:7" ht="38.25">
      <c r="A44" s="76" t="s">
        <v>1255</v>
      </c>
      <c r="B44" s="74"/>
      <c r="C44" s="74"/>
      <c r="D44" s="74"/>
      <c r="E44" s="74"/>
      <c r="F44" s="74"/>
      <c r="G44" s="23" t="s">
        <v>510</v>
      </c>
    </row>
    <row r="45" spans="1:7" ht="51">
      <c r="A45" s="76" t="s">
        <v>1256</v>
      </c>
      <c r="B45" s="74"/>
      <c r="C45" s="74"/>
      <c r="D45" s="74"/>
      <c r="E45" s="74"/>
      <c r="F45" s="74"/>
      <c r="G45" s="23" t="s">
        <v>510</v>
      </c>
    </row>
    <row r="46" spans="1:7" ht="51">
      <c r="A46" s="76" t="s">
        <v>1257</v>
      </c>
      <c r="B46" s="74"/>
      <c r="C46" s="74"/>
      <c r="D46" s="74"/>
      <c r="E46" s="74"/>
      <c r="F46" s="74"/>
      <c r="G46" s="23" t="s">
        <v>510</v>
      </c>
    </row>
    <row r="47" spans="1:7" ht="25.5">
      <c r="A47" s="76" t="s">
        <v>1258</v>
      </c>
      <c r="B47" s="74"/>
      <c r="C47" s="74"/>
      <c r="D47" s="74"/>
      <c r="E47" s="74"/>
      <c r="F47" s="74"/>
      <c r="G47" s="23"/>
    </row>
    <row r="49" spans="1:7" ht="12.75">
      <c r="A49" s="120" t="s">
        <v>154</v>
      </c>
      <c r="B49" s="120"/>
      <c r="C49" s="120"/>
      <c r="D49" s="120"/>
      <c r="E49" s="120"/>
      <c r="F49" s="120"/>
      <c r="G49" s="120"/>
    </row>
    <row r="50" spans="1:7" ht="12.75">
      <c r="A50" s="121"/>
      <c r="B50" s="122"/>
      <c r="C50" s="122"/>
      <c r="D50" s="122"/>
      <c r="E50" s="122"/>
      <c r="F50" s="122"/>
      <c r="G50" s="123"/>
    </row>
    <row r="51" spans="1:7" ht="12.75">
      <c r="A51" s="124"/>
      <c r="B51" s="125"/>
      <c r="C51" s="125"/>
      <c r="D51" s="125"/>
      <c r="E51" s="125"/>
      <c r="F51" s="125"/>
      <c r="G51" s="126"/>
    </row>
    <row r="52" spans="1:7" ht="12.75">
      <c r="A52" s="124"/>
      <c r="B52" s="125"/>
      <c r="C52" s="125"/>
      <c r="D52" s="125"/>
      <c r="E52" s="125"/>
      <c r="F52" s="125"/>
      <c r="G52" s="126"/>
    </row>
    <row r="53" spans="1:7" ht="12.75">
      <c r="A53" s="124"/>
      <c r="B53" s="125"/>
      <c r="C53" s="125"/>
      <c r="D53" s="125"/>
      <c r="E53" s="125"/>
      <c r="F53" s="125"/>
      <c r="G53" s="126"/>
    </row>
    <row r="54" spans="1:7" ht="12.75">
      <c r="A54" s="124"/>
      <c r="B54" s="125"/>
      <c r="C54" s="125"/>
      <c r="D54" s="125"/>
      <c r="E54" s="125"/>
      <c r="F54" s="125"/>
      <c r="G54" s="126"/>
    </row>
    <row r="55" spans="1:7" ht="12.75">
      <c r="A55" s="124"/>
      <c r="B55" s="125"/>
      <c r="C55" s="125"/>
      <c r="D55" s="125"/>
      <c r="E55" s="125"/>
      <c r="F55" s="125"/>
      <c r="G55" s="126"/>
    </row>
    <row r="56" spans="1:7" ht="12.75">
      <c r="A56" s="124"/>
      <c r="B56" s="125"/>
      <c r="C56" s="125"/>
      <c r="D56" s="125"/>
      <c r="E56" s="125"/>
      <c r="F56" s="125"/>
      <c r="G56" s="126"/>
    </row>
    <row r="57" spans="1:7" ht="12.75">
      <c r="A57" s="124"/>
      <c r="B57" s="125"/>
      <c r="C57" s="125"/>
      <c r="D57" s="125"/>
      <c r="E57" s="125"/>
      <c r="F57" s="125"/>
      <c r="G57" s="126"/>
    </row>
    <row r="58" spans="1:7" ht="12.75">
      <c r="A58" s="124"/>
      <c r="B58" s="125"/>
      <c r="C58" s="125"/>
      <c r="D58" s="125"/>
      <c r="E58" s="125"/>
      <c r="F58" s="125"/>
      <c r="G58" s="126"/>
    </row>
    <row r="59" spans="1:7" ht="12.75">
      <c r="A59" s="127"/>
      <c r="B59" s="128"/>
      <c r="C59" s="128"/>
      <c r="D59" s="128"/>
      <c r="E59" s="128"/>
      <c r="F59" s="128"/>
      <c r="G59" s="129"/>
    </row>
  </sheetData>
  <mergeCells count="2">
    <mergeCell ref="A49:G49"/>
    <mergeCell ref="A50:G59"/>
  </mergeCells>
  <dataValidations count="13">
    <dataValidation type="list" allowBlank="1" showInputMessage="1" showErrorMessage="1" sqref="B41:F46">
      <formula1>YES_NO</formula1>
    </dataValidation>
    <dataValidation errorStyle="warning" type="list" allowBlank="1" showInputMessage="1" showErrorMessage="1" sqref="B5:F5">
      <formula1>Maintenance_Plant</formula1>
    </dataValidation>
    <dataValidation errorStyle="warning" type="list" allowBlank="1" showInputMessage="1" showErrorMessage="1" sqref="B6:F6">
      <formula1>Area_Level_3</formula1>
    </dataValidation>
    <dataValidation errorStyle="warning" type="list" allowBlank="1" showInputMessage="1" showErrorMessage="1" sqref="B7:F7">
      <formula1>Type_of_Facility</formula1>
    </dataValidation>
    <dataValidation errorStyle="warning" type="list" allowBlank="1" showInputMessage="1" showErrorMessage="1" sqref="B10:F10">
      <formula1>Process</formula1>
    </dataValidation>
    <dataValidation errorStyle="warning" type="list" allowBlank="1" showInputMessage="1" showErrorMessage="1" sqref="B13:F13">
      <formula1>STATUS</formula1>
    </dataValidation>
    <dataValidation errorStyle="warning" type="list" allowBlank="1" showInputMessage="1" showErrorMessage="1" sqref="B24:F24">
      <formula1>CAPACITY_UOM</formula1>
    </dataValidation>
    <dataValidation errorStyle="warning" type="list" allowBlank="1" showInputMessage="1" showErrorMessage="1" sqref="B20:F20">
      <formula1>Controllable_Asset_Indicator</formula1>
    </dataValidation>
    <dataValidation errorStyle="warning" type="list" allowBlank="1" showInputMessage="1" showErrorMessage="1" sqref="B27:F27">
      <formula1>DEMISTER_PAD</formula1>
    </dataValidation>
    <dataValidation errorStyle="warning" type="list" allowBlank="1" showInputMessage="1" showErrorMessage="1" sqref="B29:F29">
      <formula1>DIAMETER_TYPE</formula1>
    </dataValidation>
    <dataValidation errorStyle="warning" type="list" allowBlank="1" showInputMessage="1" showErrorMessage="1" sqref="B31:F31">
      <formula1>FLANGE_RATING_UOM</formula1>
    </dataValidation>
    <dataValidation errorStyle="warning" type="list" allowBlank="1" showInputMessage="1" showErrorMessage="1" sqref="B34:F34">
      <formula1>MANWAY</formula1>
    </dataValidation>
    <dataValidation errorStyle="warning" type="list" allowBlank="1" showInputMessage="1" showErrorMessage="1" sqref="B38:F38">
      <formula1>SERVICE_MEDIUM_2</formula1>
    </dataValidation>
  </dataValidations>
  <hyperlinks>
    <hyperlink ref="I4" location="ca_9707" display="Home Pkg Page"/>
  </hyperlinks>
  <printOptions horizontalCentered="1"/>
  <pageMargins left="0.75" right="0.75" top="0.5" bottom="1" header="0.25" footer="0.5"/>
  <pageSetup fitToHeight="1" fitToWidth="1" horizontalDpi="600" verticalDpi="600" orientation="portrait" scale="79" r:id="rId3"/>
  <headerFooter alignWithMargins="0">
    <oddFooter>&amp;L&amp;F&amp;C&amp;P of &amp;N&amp;R&amp;A</oddFooter>
  </headerFooter>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J5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4" sqref="B4"/>
    </sheetView>
  </sheetViews>
  <sheetFormatPr defaultColWidth="9.140625" defaultRowHeight="12.75"/>
  <cols>
    <col min="1" max="1" width="36.7109375" style="1" customWidth="1"/>
    <col min="2" max="7" width="36.140625" style="75" customWidth="1"/>
    <col min="8" max="8" width="34.57421875" style="1" bestFit="1" customWidth="1"/>
    <col min="10" max="10" width="22.421875" style="0" bestFit="1" customWidth="1"/>
  </cols>
  <sheetData>
    <row r="1" spans="1:10" ht="12.75">
      <c r="A1" s="71" t="s">
        <v>0</v>
      </c>
      <c r="B1" s="71" t="s">
        <v>1</v>
      </c>
      <c r="C1" s="71" t="s">
        <v>1</v>
      </c>
      <c r="D1" s="71" t="s">
        <v>1</v>
      </c>
      <c r="E1" s="71" t="s">
        <v>1</v>
      </c>
      <c r="F1" s="71" t="s">
        <v>1</v>
      </c>
      <c r="G1" s="71" t="s">
        <v>1</v>
      </c>
      <c r="H1" s="71" t="s">
        <v>2</v>
      </c>
      <c r="J1" s="70" t="s">
        <v>1302</v>
      </c>
    </row>
    <row r="2" spans="1:10" ht="12.75">
      <c r="A2" s="72" t="s">
        <v>3</v>
      </c>
      <c r="B2" s="3"/>
      <c r="C2" s="3"/>
      <c r="D2" s="3"/>
      <c r="E2" s="3"/>
      <c r="F2" s="3"/>
      <c r="G2" s="3"/>
      <c r="H2" s="72"/>
      <c r="J2" s="84" t="s">
        <v>1304</v>
      </c>
    </row>
    <row r="3" spans="1:8" ht="12.75">
      <c r="A3" s="72" t="s">
        <v>4</v>
      </c>
      <c r="B3" s="4" t="s">
        <v>312</v>
      </c>
      <c r="C3" s="4" t="s">
        <v>312</v>
      </c>
      <c r="D3" s="4" t="s">
        <v>312</v>
      </c>
      <c r="E3" s="4" t="s">
        <v>312</v>
      </c>
      <c r="F3" s="4" t="s">
        <v>312</v>
      </c>
      <c r="G3" s="4" t="s">
        <v>312</v>
      </c>
      <c r="H3" s="23"/>
    </row>
    <row r="4" spans="1:10" ht="12.75">
      <c r="A4" s="72" t="s">
        <v>6</v>
      </c>
      <c r="B4" s="4"/>
      <c r="C4" s="4"/>
      <c r="D4" s="4"/>
      <c r="E4" s="4"/>
      <c r="F4" s="4"/>
      <c r="G4" s="4"/>
      <c r="H4" s="72"/>
      <c r="J4" s="92" t="s">
        <v>1307</v>
      </c>
    </row>
    <row r="5" spans="1:8" ht="12.75">
      <c r="A5" s="72" t="s">
        <v>7</v>
      </c>
      <c r="B5" s="4" t="str">
        <f>+'9707 Compressor Pkg'!B5</f>
        <v>CAD_Peco</v>
      </c>
      <c r="C5" s="4" t="str">
        <f aca="true" t="shared" si="0" ref="C5:G11">+B5</f>
        <v>CAD_Peco</v>
      </c>
      <c r="D5" s="4" t="str">
        <f t="shared" si="0"/>
        <v>CAD_Peco</v>
      </c>
      <c r="E5" s="4" t="str">
        <f t="shared" si="0"/>
        <v>CAD_Peco</v>
      </c>
      <c r="F5" s="4" t="str">
        <f t="shared" si="0"/>
        <v>CAD_Peco</v>
      </c>
      <c r="G5" s="4" t="str">
        <f t="shared" si="0"/>
        <v>CAD_Peco</v>
      </c>
      <c r="H5" s="23" t="s">
        <v>510</v>
      </c>
    </row>
    <row r="6" spans="1:8" ht="12.75">
      <c r="A6" s="72" t="s">
        <v>509</v>
      </c>
      <c r="B6" s="4" t="str">
        <f>+'9707 Compressor Pkg'!B6</f>
        <v>PECO_Peco</v>
      </c>
      <c r="C6" s="4" t="str">
        <f t="shared" si="0"/>
        <v>PECO_Peco</v>
      </c>
      <c r="D6" s="4" t="str">
        <f t="shared" si="0"/>
        <v>PECO_Peco</v>
      </c>
      <c r="E6" s="4" t="str">
        <f t="shared" si="0"/>
        <v>PECO_Peco</v>
      </c>
      <c r="F6" s="4" t="str">
        <f t="shared" si="0"/>
        <v>PECO_Peco</v>
      </c>
      <c r="G6" s="4" t="str">
        <f t="shared" si="0"/>
        <v>PECO_Peco</v>
      </c>
      <c r="H6" s="23" t="s">
        <v>510</v>
      </c>
    </row>
    <row r="7" spans="1:8" ht="12.75">
      <c r="A7" s="72" t="s">
        <v>8</v>
      </c>
      <c r="B7" s="4" t="str">
        <f>+'9707 Compressor Pkg'!B7</f>
        <v>CMP_Compressor Station </v>
      </c>
      <c r="C7" s="4" t="str">
        <f t="shared" si="0"/>
        <v>CMP_Compressor Station </v>
      </c>
      <c r="D7" s="4" t="str">
        <f t="shared" si="0"/>
        <v>CMP_Compressor Station </v>
      </c>
      <c r="E7" s="4" t="str">
        <f t="shared" si="0"/>
        <v>CMP_Compressor Station </v>
      </c>
      <c r="F7" s="4" t="str">
        <f t="shared" si="0"/>
        <v>CMP_Compressor Station </v>
      </c>
      <c r="G7" s="4" t="str">
        <f t="shared" si="0"/>
        <v>CMP_Compressor Station </v>
      </c>
      <c r="H7" s="23" t="s">
        <v>510</v>
      </c>
    </row>
    <row r="8" spans="1:8" ht="12.75">
      <c r="A8" s="72" t="s">
        <v>9</v>
      </c>
      <c r="B8" s="4">
        <f>+'9707 Compressor Pkg'!B8</f>
        <v>0</v>
      </c>
      <c r="C8" s="4">
        <f t="shared" si="0"/>
        <v>0</v>
      </c>
      <c r="D8" s="4">
        <f t="shared" si="0"/>
        <v>0</v>
      </c>
      <c r="E8" s="4">
        <f t="shared" si="0"/>
        <v>0</v>
      </c>
      <c r="F8" s="4">
        <f t="shared" si="0"/>
        <v>0</v>
      </c>
      <c r="G8" s="4">
        <f t="shared" si="0"/>
        <v>0</v>
      </c>
      <c r="H8" s="72"/>
    </row>
    <row r="9" spans="1:8" ht="12.75">
      <c r="A9" s="72" t="s">
        <v>10</v>
      </c>
      <c r="B9" s="4" t="str">
        <f>+'9707 Compressor Pkg'!B9</f>
        <v>100/06-21-048-16W5/00</v>
      </c>
      <c r="C9" s="4" t="str">
        <f t="shared" si="0"/>
        <v>100/06-21-048-16W5/00</v>
      </c>
      <c r="D9" s="4" t="str">
        <f t="shared" si="0"/>
        <v>100/06-21-048-16W5/00</v>
      </c>
      <c r="E9" s="4" t="str">
        <f t="shared" si="0"/>
        <v>100/06-21-048-16W5/00</v>
      </c>
      <c r="F9" s="4" t="str">
        <f t="shared" si="0"/>
        <v>100/06-21-048-16W5/00</v>
      </c>
      <c r="G9" s="4" t="str">
        <f t="shared" si="0"/>
        <v>100/06-21-048-16W5/00</v>
      </c>
      <c r="H9" s="72"/>
    </row>
    <row r="10" spans="1:8" ht="12.75">
      <c r="A10" s="72" t="s">
        <v>11</v>
      </c>
      <c r="B10" s="4" t="str">
        <f>+'9707 Compressor Pkg'!B10</f>
        <v>CMP1_Compression</v>
      </c>
      <c r="C10" s="4" t="str">
        <f t="shared" si="0"/>
        <v>CMP1_Compression</v>
      </c>
      <c r="D10" s="4" t="str">
        <f t="shared" si="0"/>
        <v>CMP1_Compression</v>
      </c>
      <c r="E10" s="4" t="str">
        <f t="shared" si="0"/>
        <v>CMP1_Compression</v>
      </c>
      <c r="F10" s="4" t="str">
        <f t="shared" si="0"/>
        <v>CMP1_Compression</v>
      </c>
      <c r="G10" s="4" t="str">
        <f t="shared" si="0"/>
        <v>CMP1_Compression</v>
      </c>
      <c r="H10" s="23" t="s">
        <v>510</v>
      </c>
    </row>
    <row r="11" spans="1:8" ht="12.75">
      <c r="A11" s="72" t="s">
        <v>12</v>
      </c>
      <c r="B11" s="2" t="str">
        <f>+'9707 Compressor Pkg'!B11</f>
        <v>VCCF008230</v>
      </c>
      <c r="C11" s="2" t="str">
        <f t="shared" si="0"/>
        <v>VCCF008230</v>
      </c>
      <c r="D11" s="2" t="str">
        <f t="shared" si="0"/>
        <v>VCCF008230</v>
      </c>
      <c r="E11" s="2" t="str">
        <f t="shared" si="0"/>
        <v>VCCF008230</v>
      </c>
      <c r="F11" s="2" t="str">
        <f t="shared" si="0"/>
        <v>VCCF008230</v>
      </c>
      <c r="G11" s="2" t="str">
        <f t="shared" si="0"/>
        <v>VCCF008230</v>
      </c>
      <c r="H11" s="72"/>
    </row>
    <row r="12" spans="1:8" ht="12.75">
      <c r="A12" s="72" t="s">
        <v>13</v>
      </c>
      <c r="B12" s="3"/>
      <c r="C12" s="3"/>
      <c r="D12" s="3"/>
      <c r="E12" s="3"/>
      <c r="F12" s="3"/>
      <c r="G12" s="3"/>
      <c r="H12" s="72"/>
    </row>
    <row r="13" spans="1:8" ht="12.75">
      <c r="A13" s="72" t="s">
        <v>491</v>
      </c>
      <c r="B13" s="4" t="str">
        <f>+'9707 Compressor Pkg'!B13</f>
        <v>INAC-Suspended, Shut-in</v>
      </c>
      <c r="C13" s="4" t="str">
        <f>+B13</f>
        <v>INAC-Suspended, Shut-in</v>
      </c>
      <c r="D13" s="4" t="str">
        <f>+C13</f>
        <v>INAC-Suspended, Shut-in</v>
      </c>
      <c r="E13" s="4" t="str">
        <f>+D13</f>
        <v>INAC-Suspended, Shut-in</v>
      </c>
      <c r="F13" s="4" t="str">
        <f>+E13</f>
        <v>INAC-Suspended, Shut-in</v>
      </c>
      <c r="G13" s="4" t="str">
        <f>+F13</f>
        <v>INAC-Suspended, Shut-in</v>
      </c>
      <c r="H13" s="23" t="s">
        <v>510</v>
      </c>
    </row>
    <row r="14" spans="1:8" ht="12.75">
      <c r="A14" s="72" t="s">
        <v>14</v>
      </c>
      <c r="B14" s="2" t="s">
        <v>879</v>
      </c>
      <c r="C14" s="2" t="s">
        <v>879</v>
      </c>
      <c r="D14" s="2" t="s">
        <v>879</v>
      </c>
      <c r="E14" s="2" t="s">
        <v>879</v>
      </c>
      <c r="F14" s="2" t="s">
        <v>879</v>
      </c>
      <c r="G14" s="2" t="s">
        <v>879</v>
      </c>
      <c r="H14" s="72"/>
    </row>
    <row r="15" spans="1:8" ht="12.75">
      <c r="A15" s="72" t="s">
        <v>15</v>
      </c>
      <c r="B15" s="2" t="s">
        <v>879</v>
      </c>
      <c r="C15" s="2" t="s">
        <v>879</v>
      </c>
      <c r="D15" s="2" t="s">
        <v>879</v>
      </c>
      <c r="E15" s="2" t="s">
        <v>879</v>
      </c>
      <c r="F15" s="2" t="s">
        <v>879</v>
      </c>
      <c r="G15" s="2" t="s">
        <v>879</v>
      </c>
      <c r="H15" s="72"/>
    </row>
    <row r="16" spans="1:8" ht="12.75">
      <c r="A16" s="72" t="s">
        <v>16</v>
      </c>
      <c r="B16" s="73" t="s">
        <v>879</v>
      </c>
      <c r="C16" s="73" t="s">
        <v>879</v>
      </c>
      <c r="D16" s="73" t="s">
        <v>879</v>
      </c>
      <c r="E16" s="73" t="s">
        <v>879</v>
      </c>
      <c r="F16" s="73" t="s">
        <v>879</v>
      </c>
      <c r="G16" s="73" t="s">
        <v>879</v>
      </c>
      <c r="H16" s="72"/>
    </row>
    <row r="17" spans="1:8" ht="12.75">
      <c r="A17" s="72" t="s">
        <v>17</v>
      </c>
      <c r="B17" s="74" t="s">
        <v>879</v>
      </c>
      <c r="C17" s="74" t="s">
        <v>879</v>
      </c>
      <c r="D17" s="74" t="s">
        <v>879</v>
      </c>
      <c r="E17" s="74" t="s">
        <v>879</v>
      </c>
      <c r="F17" s="74" t="s">
        <v>879</v>
      </c>
      <c r="G17" s="74" t="s">
        <v>879</v>
      </c>
      <c r="H17" s="72"/>
    </row>
    <row r="18" spans="1:8" ht="12.75">
      <c r="A18" s="72" t="s">
        <v>88</v>
      </c>
      <c r="B18" s="73" t="s">
        <v>879</v>
      </c>
      <c r="C18" s="73" t="s">
        <v>879</v>
      </c>
      <c r="D18" s="73" t="s">
        <v>879</v>
      </c>
      <c r="E18" s="73" t="s">
        <v>879</v>
      </c>
      <c r="F18" s="73" t="s">
        <v>879</v>
      </c>
      <c r="G18" s="73" t="s">
        <v>879</v>
      </c>
      <c r="H18" s="72"/>
    </row>
    <row r="19" spans="1:8" ht="12.75">
      <c r="A19" s="72" t="s">
        <v>93</v>
      </c>
      <c r="B19" s="73" t="s">
        <v>879</v>
      </c>
      <c r="C19" s="73" t="s">
        <v>879</v>
      </c>
      <c r="D19" s="73" t="s">
        <v>879</v>
      </c>
      <c r="E19" s="73" t="s">
        <v>879</v>
      </c>
      <c r="F19" s="73" t="s">
        <v>879</v>
      </c>
      <c r="G19" s="73" t="s">
        <v>879</v>
      </c>
      <c r="H19" s="72"/>
    </row>
    <row r="20" spans="1:8" ht="12.75">
      <c r="A20" s="19" t="s">
        <v>19</v>
      </c>
      <c r="B20" s="87" t="s">
        <v>879</v>
      </c>
      <c r="C20" s="87" t="s">
        <v>879</v>
      </c>
      <c r="D20" s="87" t="s">
        <v>879</v>
      </c>
      <c r="E20" s="87" t="s">
        <v>879</v>
      </c>
      <c r="F20" s="87" t="s">
        <v>879</v>
      </c>
      <c r="G20" s="87" t="s">
        <v>879</v>
      </c>
      <c r="H20" s="23" t="s">
        <v>510</v>
      </c>
    </row>
    <row r="21" spans="1:8" ht="12.75">
      <c r="A21" s="19" t="s">
        <v>420</v>
      </c>
      <c r="B21" s="87" t="s">
        <v>879</v>
      </c>
      <c r="C21" s="87" t="s">
        <v>879</v>
      </c>
      <c r="D21" s="87" t="s">
        <v>879</v>
      </c>
      <c r="E21" s="87" t="s">
        <v>879</v>
      </c>
      <c r="F21" s="87" t="s">
        <v>879</v>
      </c>
      <c r="G21" s="87" t="s">
        <v>879</v>
      </c>
      <c r="H21" s="23"/>
    </row>
    <row r="22" spans="1:8" ht="12.75">
      <c r="A22" s="19" t="s">
        <v>421</v>
      </c>
      <c r="B22" s="87" t="s">
        <v>879</v>
      </c>
      <c r="C22" s="87" t="s">
        <v>879</v>
      </c>
      <c r="D22" s="87" t="s">
        <v>879</v>
      </c>
      <c r="E22" s="87" t="s">
        <v>879</v>
      </c>
      <c r="F22" s="87" t="s">
        <v>879</v>
      </c>
      <c r="G22" s="87" t="s">
        <v>879</v>
      </c>
      <c r="H22" s="23"/>
    </row>
    <row r="23" spans="1:8" ht="12.75">
      <c r="A23" s="19" t="s">
        <v>422</v>
      </c>
      <c r="B23" s="87" t="s">
        <v>879</v>
      </c>
      <c r="C23" s="87" t="s">
        <v>879</v>
      </c>
      <c r="D23" s="87" t="s">
        <v>879</v>
      </c>
      <c r="E23" s="87" t="s">
        <v>879</v>
      </c>
      <c r="F23" s="87" t="s">
        <v>879</v>
      </c>
      <c r="G23" s="87" t="s">
        <v>879</v>
      </c>
      <c r="H23" s="23"/>
    </row>
    <row r="24" spans="1:8" ht="12.75">
      <c r="A24" s="19" t="s">
        <v>492</v>
      </c>
      <c r="B24" s="87" t="s">
        <v>879</v>
      </c>
      <c r="C24" s="87" t="s">
        <v>879</v>
      </c>
      <c r="D24" s="87" t="s">
        <v>879</v>
      </c>
      <c r="E24" s="87" t="s">
        <v>879</v>
      </c>
      <c r="F24" s="87" t="s">
        <v>879</v>
      </c>
      <c r="G24" s="87" t="s">
        <v>879</v>
      </c>
      <c r="H24" s="23" t="s">
        <v>510</v>
      </c>
    </row>
    <row r="25" spans="1:8" ht="12.75">
      <c r="A25" s="19" t="s">
        <v>424</v>
      </c>
      <c r="B25" s="87" t="s">
        <v>879</v>
      </c>
      <c r="C25" s="87" t="s">
        <v>879</v>
      </c>
      <c r="D25" s="87" t="s">
        <v>879</v>
      </c>
      <c r="E25" s="87" t="s">
        <v>879</v>
      </c>
      <c r="F25" s="87" t="s">
        <v>879</v>
      </c>
      <c r="G25" s="87" t="s">
        <v>879</v>
      </c>
      <c r="H25" s="23"/>
    </row>
    <row r="26" spans="1:8" ht="12.75">
      <c r="A26" s="19" t="s">
        <v>493</v>
      </c>
      <c r="B26" s="87" t="s">
        <v>879</v>
      </c>
      <c r="C26" s="87" t="s">
        <v>879</v>
      </c>
      <c r="D26" s="87" t="s">
        <v>879</v>
      </c>
      <c r="E26" s="87" t="s">
        <v>879</v>
      </c>
      <c r="F26" s="87" t="s">
        <v>879</v>
      </c>
      <c r="G26" s="87" t="s">
        <v>879</v>
      </c>
      <c r="H26" s="23" t="s">
        <v>423</v>
      </c>
    </row>
    <row r="27" spans="1:8" ht="12.75">
      <c r="A27" s="19" t="s">
        <v>426</v>
      </c>
      <c r="B27" s="87" t="s">
        <v>879</v>
      </c>
      <c r="C27" s="87" t="s">
        <v>879</v>
      </c>
      <c r="D27" s="87" t="s">
        <v>879</v>
      </c>
      <c r="E27" s="87" t="s">
        <v>879</v>
      </c>
      <c r="F27" s="87" t="s">
        <v>879</v>
      </c>
      <c r="G27" s="87" t="s">
        <v>879</v>
      </c>
      <c r="H27" s="23" t="s">
        <v>427</v>
      </c>
    </row>
    <row r="28" spans="1:8" ht="12.75">
      <c r="A28" s="19" t="s">
        <v>428</v>
      </c>
      <c r="B28" s="87" t="s">
        <v>879</v>
      </c>
      <c r="C28" s="87" t="s">
        <v>879</v>
      </c>
      <c r="D28" s="87" t="s">
        <v>879</v>
      </c>
      <c r="E28" s="87" t="s">
        <v>879</v>
      </c>
      <c r="F28" s="87" t="s">
        <v>879</v>
      </c>
      <c r="G28" s="87" t="s">
        <v>879</v>
      </c>
      <c r="H28" s="23" t="s">
        <v>510</v>
      </c>
    </row>
    <row r="29" spans="1:8" ht="12.75">
      <c r="A29" s="19" t="s">
        <v>430</v>
      </c>
      <c r="B29" s="87" t="s">
        <v>879</v>
      </c>
      <c r="C29" s="87" t="s">
        <v>879</v>
      </c>
      <c r="D29" s="87" t="s">
        <v>879</v>
      </c>
      <c r="E29" s="87" t="s">
        <v>879</v>
      </c>
      <c r="F29" s="87" t="s">
        <v>879</v>
      </c>
      <c r="G29" s="87" t="s">
        <v>879</v>
      </c>
      <c r="H29" s="23"/>
    </row>
    <row r="30" spans="1:8" ht="12.75">
      <c r="A30" s="19" t="s">
        <v>495</v>
      </c>
      <c r="B30" s="87" t="s">
        <v>879</v>
      </c>
      <c r="C30" s="87" t="s">
        <v>879</v>
      </c>
      <c r="D30" s="87" t="s">
        <v>879</v>
      </c>
      <c r="E30" s="87" t="s">
        <v>879</v>
      </c>
      <c r="F30" s="87" t="s">
        <v>879</v>
      </c>
      <c r="G30" s="87" t="s">
        <v>879</v>
      </c>
      <c r="H30" s="23" t="s">
        <v>510</v>
      </c>
    </row>
    <row r="31" spans="1:8" ht="12.75">
      <c r="A31" s="19" t="s">
        <v>506</v>
      </c>
      <c r="B31" s="87" t="s">
        <v>879</v>
      </c>
      <c r="C31" s="87" t="s">
        <v>879</v>
      </c>
      <c r="D31" s="87" t="s">
        <v>879</v>
      </c>
      <c r="E31" s="87" t="s">
        <v>879</v>
      </c>
      <c r="F31" s="87" t="s">
        <v>879</v>
      </c>
      <c r="G31" s="87" t="s">
        <v>879</v>
      </c>
      <c r="H31" s="23"/>
    </row>
    <row r="32" spans="1:8" ht="12.75">
      <c r="A32" s="19" t="s">
        <v>499</v>
      </c>
      <c r="B32" s="87" t="s">
        <v>879</v>
      </c>
      <c r="C32" s="87" t="s">
        <v>879</v>
      </c>
      <c r="D32" s="87" t="s">
        <v>879</v>
      </c>
      <c r="E32" s="87" t="s">
        <v>879</v>
      </c>
      <c r="F32" s="87" t="s">
        <v>879</v>
      </c>
      <c r="G32" s="87" t="s">
        <v>879</v>
      </c>
      <c r="H32" s="23" t="s">
        <v>1280</v>
      </c>
    </row>
    <row r="33" spans="1:8" ht="12.75">
      <c r="A33" s="19" t="s">
        <v>119</v>
      </c>
      <c r="B33" s="87" t="s">
        <v>879</v>
      </c>
      <c r="C33" s="87" t="s">
        <v>879</v>
      </c>
      <c r="D33" s="87" t="s">
        <v>879</v>
      </c>
      <c r="E33" s="87" t="s">
        <v>879</v>
      </c>
      <c r="F33" s="87" t="s">
        <v>879</v>
      </c>
      <c r="G33" s="87" t="s">
        <v>879</v>
      </c>
      <c r="H33" s="23"/>
    </row>
    <row r="34" spans="1:8" ht="12.75">
      <c r="A34" s="19" t="s">
        <v>351</v>
      </c>
      <c r="B34" s="87" t="s">
        <v>879</v>
      </c>
      <c r="C34" s="87" t="s">
        <v>879</v>
      </c>
      <c r="D34" s="87" t="s">
        <v>879</v>
      </c>
      <c r="E34" s="87" t="s">
        <v>879</v>
      </c>
      <c r="F34" s="87" t="s">
        <v>879</v>
      </c>
      <c r="G34" s="87" t="s">
        <v>879</v>
      </c>
      <c r="H34" s="23" t="s">
        <v>510</v>
      </c>
    </row>
    <row r="36" spans="1:8" ht="25.5">
      <c r="A36" s="76" t="s">
        <v>1252</v>
      </c>
      <c r="B36" s="74"/>
      <c r="C36" s="74"/>
      <c r="D36" s="74"/>
      <c r="E36" s="74"/>
      <c r="F36" s="74"/>
      <c r="G36" s="74"/>
      <c r="H36" s="23" t="s">
        <v>510</v>
      </c>
    </row>
    <row r="37" spans="1:8" ht="25.5">
      <c r="A37" s="76" t="s">
        <v>1253</v>
      </c>
      <c r="B37" s="74"/>
      <c r="C37" s="74"/>
      <c r="D37" s="74"/>
      <c r="E37" s="74"/>
      <c r="F37" s="74"/>
      <c r="G37" s="74"/>
      <c r="H37" s="23" t="s">
        <v>510</v>
      </c>
    </row>
    <row r="38" spans="1:8" ht="12.75">
      <c r="A38" s="76" t="s">
        <v>1254</v>
      </c>
      <c r="B38" s="74"/>
      <c r="C38" s="74"/>
      <c r="D38" s="74"/>
      <c r="E38" s="74"/>
      <c r="F38" s="74"/>
      <c r="G38" s="74"/>
      <c r="H38" s="23" t="s">
        <v>510</v>
      </c>
    </row>
    <row r="39" spans="1:8" ht="38.25">
      <c r="A39" s="76" t="s">
        <v>1255</v>
      </c>
      <c r="B39" s="74"/>
      <c r="C39" s="74"/>
      <c r="D39" s="74"/>
      <c r="E39" s="74"/>
      <c r="F39" s="74"/>
      <c r="G39" s="74"/>
      <c r="H39" s="23" t="s">
        <v>510</v>
      </c>
    </row>
    <row r="40" spans="1:8" ht="38.25">
      <c r="A40" s="76" t="s">
        <v>1256</v>
      </c>
      <c r="B40" s="74"/>
      <c r="C40" s="74"/>
      <c r="D40" s="74"/>
      <c r="E40" s="74"/>
      <c r="F40" s="74"/>
      <c r="G40" s="74"/>
      <c r="H40" s="23" t="s">
        <v>510</v>
      </c>
    </row>
    <row r="41" spans="1:8" ht="38.25">
      <c r="A41" s="76" t="s">
        <v>1257</v>
      </c>
      <c r="B41" s="74"/>
      <c r="C41" s="74"/>
      <c r="D41" s="74"/>
      <c r="E41" s="74"/>
      <c r="F41" s="74"/>
      <c r="G41" s="74"/>
      <c r="H41" s="23" t="s">
        <v>510</v>
      </c>
    </row>
    <row r="42" spans="1:8" ht="25.5">
      <c r="A42" s="76" t="s">
        <v>1258</v>
      </c>
      <c r="B42" s="74"/>
      <c r="C42" s="74"/>
      <c r="D42" s="74"/>
      <c r="E42" s="74"/>
      <c r="F42" s="74"/>
      <c r="G42" s="74"/>
      <c r="H42" s="23"/>
    </row>
    <row r="43" spans="3:7" ht="12.75">
      <c r="C43" s="1"/>
      <c r="D43" s="1"/>
      <c r="E43" s="1"/>
      <c r="F43" s="1"/>
      <c r="G43" s="1"/>
    </row>
    <row r="44" spans="1:8" ht="12.75">
      <c r="A44" s="132" t="s">
        <v>154</v>
      </c>
      <c r="B44" s="133"/>
      <c r="C44" s="133"/>
      <c r="D44" s="133"/>
      <c r="E44" s="133"/>
      <c r="F44" s="133"/>
      <c r="G44" s="133"/>
      <c r="H44" s="134"/>
    </row>
    <row r="45" spans="1:8" ht="12.75">
      <c r="A45" s="121"/>
      <c r="B45" s="130"/>
      <c r="C45" s="130"/>
      <c r="D45" s="130"/>
      <c r="E45" s="130"/>
      <c r="F45" s="130"/>
      <c r="G45" s="122"/>
      <c r="H45" s="123"/>
    </row>
    <row r="46" spans="1:8" ht="12.75">
      <c r="A46" s="124"/>
      <c r="B46" s="125"/>
      <c r="C46" s="125"/>
      <c r="D46" s="125"/>
      <c r="E46" s="125"/>
      <c r="F46" s="125"/>
      <c r="G46" s="125"/>
      <c r="H46" s="126"/>
    </row>
    <row r="47" spans="1:8" ht="12.75">
      <c r="A47" s="124"/>
      <c r="B47" s="125"/>
      <c r="C47" s="125"/>
      <c r="D47" s="125"/>
      <c r="E47" s="125"/>
      <c r="F47" s="125"/>
      <c r="G47" s="125"/>
      <c r="H47" s="126"/>
    </row>
    <row r="48" spans="1:8" ht="12.75">
      <c r="A48" s="124"/>
      <c r="B48" s="125"/>
      <c r="C48" s="125"/>
      <c r="D48" s="125"/>
      <c r="E48" s="125"/>
      <c r="F48" s="125"/>
      <c r="G48" s="125"/>
      <c r="H48" s="126"/>
    </row>
    <row r="49" spans="1:8" ht="12.75">
      <c r="A49" s="124"/>
      <c r="B49" s="125"/>
      <c r="C49" s="125"/>
      <c r="D49" s="125"/>
      <c r="E49" s="125"/>
      <c r="F49" s="125"/>
      <c r="G49" s="125"/>
      <c r="H49" s="126"/>
    </row>
    <row r="50" spans="1:8" ht="12.75">
      <c r="A50" s="124"/>
      <c r="B50" s="125"/>
      <c r="C50" s="125"/>
      <c r="D50" s="125"/>
      <c r="E50" s="125"/>
      <c r="F50" s="125"/>
      <c r="G50" s="125"/>
      <c r="H50" s="126"/>
    </row>
    <row r="51" spans="1:8" ht="12.75">
      <c r="A51" s="124"/>
      <c r="B51" s="125"/>
      <c r="C51" s="125"/>
      <c r="D51" s="125"/>
      <c r="E51" s="125"/>
      <c r="F51" s="125"/>
      <c r="G51" s="125"/>
      <c r="H51" s="126"/>
    </row>
    <row r="52" spans="1:8" ht="12.75">
      <c r="A52" s="124"/>
      <c r="B52" s="125"/>
      <c r="C52" s="125"/>
      <c r="D52" s="125"/>
      <c r="E52" s="125"/>
      <c r="F52" s="125"/>
      <c r="G52" s="125"/>
      <c r="H52" s="126"/>
    </row>
    <row r="53" spans="1:8" ht="12.75">
      <c r="A53" s="124"/>
      <c r="B53" s="125"/>
      <c r="C53" s="125"/>
      <c r="D53" s="125"/>
      <c r="E53" s="125"/>
      <c r="F53" s="125"/>
      <c r="G53" s="125"/>
      <c r="H53" s="126"/>
    </row>
    <row r="54" spans="1:8" ht="12.75">
      <c r="A54" s="127"/>
      <c r="B54" s="128"/>
      <c r="C54" s="128"/>
      <c r="D54" s="128"/>
      <c r="E54" s="128"/>
      <c r="F54" s="128"/>
      <c r="G54" s="128"/>
      <c r="H54" s="129"/>
    </row>
  </sheetData>
  <mergeCells count="2">
    <mergeCell ref="A44:H44"/>
    <mergeCell ref="A45:H54"/>
  </mergeCells>
  <dataValidations count="11">
    <dataValidation type="list" allowBlank="1" showInputMessage="1" showErrorMessage="1" sqref="B36:G41">
      <formula1>YES_NO</formula1>
    </dataValidation>
    <dataValidation errorStyle="warning" type="list" allowBlank="1" showInputMessage="1" showErrorMessage="1" sqref="B5:G5">
      <formula1>Maintenance_Plant</formula1>
    </dataValidation>
    <dataValidation errorStyle="warning" type="list" allowBlank="1" showInputMessage="1" showErrorMessage="1" sqref="B6:G6">
      <formula1>Area_Level_3</formula1>
    </dataValidation>
    <dataValidation errorStyle="warning" type="list" allowBlank="1" showInputMessage="1" showErrorMessage="1" sqref="B7:G7">
      <formula1>Type_of_Facility</formula1>
    </dataValidation>
    <dataValidation errorStyle="warning" type="list" allowBlank="1" showInputMessage="1" showErrorMessage="1" sqref="B10:G10">
      <formula1>Process</formula1>
    </dataValidation>
    <dataValidation errorStyle="warning" type="list" allowBlank="1" showInputMessage="1" showErrorMessage="1" sqref="B13:G13">
      <formula1>STATUS</formula1>
    </dataValidation>
    <dataValidation errorStyle="warning" type="list" allowBlank="1" showInputMessage="1" showErrorMessage="1" sqref="B34:G34">
      <formula1>SERVICE_MEDIUM_2</formula1>
    </dataValidation>
    <dataValidation errorStyle="warning" type="list" allowBlank="1" showInputMessage="1" showErrorMessage="1" sqref="B30:G30">
      <formula1>FLANGE_RATING_UOM</formula1>
    </dataValidation>
    <dataValidation errorStyle="warning" type="list" allowBlank="1" showInputMessage="1" showErrorMessage="1" sqref="B28:G28">
      <formula1>DIAMETER_TYPE</formula1>
    </dataValidation>
    <dataValidation errorStyle="warning" type="list" allowBlank="1" showInputMessage="1" showErrorMessage="1" sqref="B24:G24">
      <formula1>CAPACITY_UOM</formula1>
    </dataValidation>
    <dataValidation errorStyle="warning" type="list" allowBlank="1" showInputMessage="1" showErrorMessage="1" sqref="B20:G20">
      <formula1>Controllable_Asset_Indicator</formula1>
    </dataValidation>
  </dataValidations>
  <hyperlinks>
    <hyperlink ref="J4" location="ca_9707" display="Home Pkg Page"/>
  </hyperlinks>
  <printOptions horizontalCentered="1"/>
  <pageMargins left="0.75" right="0.75" top="0.5" bottom="1" header="0.25" footer="0.5"/>
  <pageSetup fitToHeight="1" fitToWidth="1" horizontalDpi="600" verticalDpi="600" orientation="portrait" scale="31" r:id="rId3"/>
  <headerFooter alignWithMargins="0">
    <oddFooter>&amp;L&amp;F&amp;C&amp;P of &amp;N&amp;R&amp;A</oddFooter>
  </headerFooter>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E63"/>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129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23" t="s">
        <v>420</v>
      </c>
      <c r="B20" s="87" t="s">
        <v>879</v>
      </c>
      <c r="C20" s="23"/>
    </row>
    <row r="21" spans="1:3" ht="12.75">
      <c r="A21" s="23" t="s">
        <v>421</v>
      </c>
      <c r="B21" s="87" t="s">
        <v>879</v>
      </c>
      <c r="C21" s="72"/>
    </row>
    <row r="22" spans="1:3" ht="12.75">
      <c r="A22" s="23" t="s">
        <v>422</v>
      </c>
      <c r="B22" s="87" t="s">
        <v>879</v>
      </c>
      <c r="C22" s="72"/>
    </row>
    <row r="23" spans="1:3" ht="12.75">
      <c r="A23" s="23" t="s">
        <v>492</v>
      </c>
      <c r="B23" s="87" t="s">
        <v>879</v>
      </c>
      <c r="C23" s="23" t="s">
        <v>510</v>
      </c>
    </row>
    <row r="24" spans="1:3" ht="12.75">
      <c r="A24" s="23" t="s">
        <v>424</v>
      </c>
      <c r="B24" s="87" t="s">
        <v>879</v>
      </c>
      <c r="C24" s="72"/>
    </row>
    <row r="25" spans="1:3" ht="12.75">
      <c r="A25" s="23" t="s">
        <v>493</v>
      </c>
      <c r="B25" s="87" t="s">
        <v>879</v>
      </c>
      <c r="C25" s="23" t="s">
        <v>423</v>
      </c>
    </row>
    <row r="26" spans="1:3" ht="12.75">
      <c r="A26" s="23" t="s">
        <v>436</v>
      </c>
      <c r="B26" s="87" t="s">
        <v>879</v>
      </c>
      <c r="C26" s="23" t="s">
        <v>510</v>
      </c>
    </row>
    <row r="27" spans="1:3" ht="12.75">
      <c r="A27" s="23" t="s">
        <v>426</v>
      </c>
      <c r="B27" s="87" t="s">
        <v>879</v>
      </c>
      <c r="C27" s="23" t="s">
        <v>427</v>
      </c>
    </row>
    <row r="28" spans="1:3" ht="12.75">
      <c r="A28" s="23" t="s">
        <v>428</v>
      </c>
      <c r="B28" s="87" t="s">
        <v>879</v>
      </c>
      <c r="C28" s="23" t="s">
        <v>510</v>
      </c>
    </row>
    <row r="29" spans="1:3" ht="12.75">
      <c r="A29" s="23" t="s">
        <v>494</v>
      </c>
      <c r="B29" s="87" t="s">
        <v>879</v>
      </c>
      <c r="C29" s="72"/>
    </row>
    <row r="30" spans="1:3" ht="12.75">
      <c r="A30" s="23" t="s">
        <v>430</v>
      </c>
      <c r="B30" s="87" t="s">
        <v>879</v>
      </c>
      <c r="C30" s="72"/>
    </row>
    <row r="31" spans="1:3" ht="12.75">
      <c r="A31" s="23" t="s">
        <v>495</v>
      </c>
      <c r="B31" s="87" t="s">
        <v>879</v>
      </c>
      <c r="C31" s="23" t="s">
        <v>510</v>
      </c>
    </row>
    <row r="32" spans="1:3" ht="12.75">
      <c r="A32" s="23" t="s">
        <v>496</v>
      </c>
      <c r="B32" s="87" t="s">
        <v>879</v>
      </c>
      <c r="C32" s="23"/>
    </row>
    <row r="33" spans="1:3" ht="12.75">
      <c r="A33" s="23" t="s">
        <v>497</v>
      </c>
      <c r="B33" s="87" t="s">
        <v>879</v>
      </c>
      <c r="C33" s="72"/>
    </row>
    <row r="34" spans="1:3" ht="12.75">
      <c r="A34" s="23" t="s">
        <v>498</v>
      </c>
      <c r="B34" s="87" t="s">
        <v>879</v>
      </c>
      <c r="C34" s="23" t="s">
        <v>510</v>
      </c>
    </row>
    <row r="35" spans="1:3" ht="12.75">
      <c r="A35" s="23" t="s">
        <v>437</v>
      </c>
      <c r="B35" s="87" t="s">
        <v>879</v>
      </c>
      <c r="C35" s="23"/>
    </row>
    <row r="36" spans="1:3" ht="12.75">
      <c r="A36" s="23" t="s">
        <v>499</v>
      </c>
      <c r="B36" s="87" t="s">
        <v>879</v>
      </c>
      <c r="C36" s="23" t="s">
        <v>1280</v>
      </c>
    </row>
    <row r="37" spans="1:3" ht="12.75">
      <c r="A37" s="23" t="s">
        <v>433</v>
      </c>
      <c r="B37" s="87" t="s">
        <v>879</v>
      </c>
      <c r="C37" s="23" t="s">
        <v>510</v>
      </c>
    </row>
    <row r="38" spans="1:3" ht="12.75">
      <c r="A38" s="23" t="s">
        <v>500</v>
      </c>
      <c r="B38" s="87" t="s">
        <v>879</v>
      </c>
      <c r="C38" s="23" t="s">
        <v>501</v>
      </c>
    </row>
    <row r="39" spans="1:3" ht="12.75">
      <c r="A39" s="23" t="s">
        <v>502</v>
      </c>
      <c r="B39" s="87" t="s">
        <v>879</v>
      </c>
      <c r="C39" s="23" t="s">
        <v>435</v>
      </c>
    </row>
    <row r="40" spans="1:3" ht="12.75">
      <c r="A40" s="23" t="s">
        <v>503</v>
      </c>
      <c r="B40" s="87" t="s">
        <v>879</v>
      </c>
      <c r="C40" s="72"/>
    </row>
    <row r="41" spans="1:3" ht="12.75">
      <c r="A41" s="23" t="s">
        <v>119</v>
      </c>
      <c r="B41" s="87" t="s">
        <v>879</v>
      </c>
      <c r="C41" s="72"/>
    </row>
    <row r="42" spans="1:3" ht="12.75">
      <c r="A42" s="23" t="s">
        <v>351</v>
      </c>
      <c r="B42" s="87" t="s">
        <v>879</v>
      </c>
      <c r="C42" s="23" t="s">
        <v>510</v>
      </c>
    </row>
    <row r="43" spans="1:3" ht="12.75">
      <c r="A43" s="23" t="s">
        <v>504</v>
      </c>
      <c r="B43" s="87" t="s">
        <v>879</v>
      </c>
      <c r="C43" s="23" t="s">
        <v>435</v>
      </c>
    </row>
    <row r="45" spans="1:3" ht="25.5">
      <c r="A45" s="76" t="s">
        <v>1252</v>
      </c>
      <c r="B45" s="74"/>
      <c r="C45" s="23" t="s">
        <v>510</v>
      </c>
    </row>
    <row r="46" spans="1:3" ht="25.5">
      <c r="A46" s="76" t="s">
        <v>1253</v>
      </c>
      <c r="B46" s="74"/>
      <c r="C46" s="23" t="s">
        <v>510</v>
      </c>
    </row>
    <row r="47" spans="1:3" ht="12.75">
      <c r="A47" s="76" t="s">
        <v>1254</v>
      </c>
      <c r="B47" s="74"/>
      <c r="C47" s="23" t="s">
        <v>510</v>
      </c>
    </row>
    <row r="48" spans="1:3" ht="38.25">
      <c r="A48" s="76" t="s">
        <v>1255</v>
      </c>
      <c r="B48" s="74"/>
      <c r="C48" s="23" t="s">
        <v>510</v>
      </c>
    </row>
    <row r="49" spans="1:3" ht="51">
      <c r="A49" s="76" t="s">
        <v>1256</v>
      </c>
      <c r="B49" s="74"/>
      <c r="C49" s="23" t="s">
        <v>510</v>
      </c>
    </row>
    <row r="50" spans="1:3" ht="51">
      <c r="A50" s="76" t="s">
        <v>1257</v>
      </c>
      <c r="B50" s="74"/>
      <c r="C50" s="23" t="s">
        <v>510</v>
      </c>
    </row>
    <row r="51" spans="1:3" ht="25.5">
      <c r="A51" s="76" t="s">
        <v>1258</v>
      </c>
      <c r="B51" s="74"/>
      <c r="C51" s="23"/>
    </row>
    <row r="53" spans="1:3" ht="12.75">
      <c r="A53" s="120" t="s">
        <v>154</v>
      </c>
      <c r="B53" s="120"/>
      <c r="C53" s="120"/>
    </row>
    <row r="54" spans="1:3" ht="12.75">
      <c r="A54" s="121"/>
      <c r="B54" s="122"/>
      <c r="C54" s="123"/>
    </row>
    <row r="55" spans="1:3" ht="12.75">
      <c r="A55" s="124"/>
      <c r="B55" s="125"/>
      <c r="C55" s="126"/>
    </row>
    <row r="56" spans="1:3" ht="12.75">
      <c r="A56" s="124"/>
      <c r="B56" s="125"/>
      <c r="C56" s="126"/>
    </row>
    <row r="57" spans="1:3" ht="12.75">
      <c r="A57" s="124"/>
      <c r="B57" s="125"/>
      <c r="C57" s="126"/>
    </row>
    <row r="58" spans="1:3" ht="12.75">
      <c r="A58" s="124"/>
      <c r="B58" s="125"/>
      <c r="C58" s="126"/>
    </row>
    <row r="59" spans="1:3" ht="12.75">
      <c r="A59" s="124"/>
      <c r="B59" s="125"/>
      <c r="C59" s="126"/>
    </row>
    <row r="60" spans="1:3" ht="12.75">
      <c r="A60" s="124"/>
      <c r="B60" s="125"/>
      <c r="C60" s="126"/>
    </row>
    <row r="61" spans="1:3" ht="12.75">
      <c r="A61" s="124"/>
      <c r="B61" s="125"/>
      <c r="C61" s="126"/>
    </row>
    <row r="62" spans="1:3" ht="12.75">
      <c r="A62" s="124"/>
      <c r="B62" s="125"/>
      <c r="C62" s="126"/>
    </row>
    <row r="63" spans="1:3" ht="12.75">
      <c r="A63" s="127"/>
      <c r="B63" s="128"/>
      <c r="C63" s="129"/>
    </row>
  </sheetData>
  <mergeCells count="2">
    <mergeCell ref="A53:C53"/>
    <mergeCell ref="A54:C63"/>
  </mergeCells>
  <dataValidations count="12">
    <dataValidation type="list" allowBlank="1" showInputMessage="1" showErrorMessage="1" sqref="B45:B50">
      <formula1>YES_NO</formula1>
    </dataValidation>
    <dataValidation errorStyle="warning" type="list" allowBlank="1" showInputMessage="1" showErrorMessage="1" sqref="B34 B37">
      <formula1>YES_NO</formula1>
    </dataValidation>
    <dataValidation errorStyle="warning" type="list" allowBlank="1" showInputMessage="1" showErrorMessage="1" sqref="B42">
      <formula1>SERVICE_MEDIUM_2</formula1>
    </dataValidation>
    <dataValidation errorStyle="warning" type="list" allowBlank="1" showInputMessage="1" showErrorMessage="1" sqref="B31">
      <formula1>FLANGE_RATING_UOM</formula1>
    </dataValidation>
    <dataValidation errorStyle="warning" type="list" allowBlank="1" showInputMessage="1" showErrorMessage="1" sqref="B23">
      <formula1>CAPACITY_UOM</formula1>
    </dataValidation>
    <dataValidation errorStyle="warning" type="list" allowBlank="1" showInputMessage="1" showErrorMessage="1" sqref="B26">
      <formula1>DEMISTER_PAD</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28">
      <formula1>DIAMETER_TYPE</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4" r:id="rId3"/>
  <headerFooter alignWithMargins="0">
    <oddFooter>&amp;L&amp;F&amp;C&amp;P of &amp;N&amp;R&amp;A</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E5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4" sqref="E4"/>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223</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5" t="s">
        <v>438</v>
      </c>
      <c r="B21" s="87" t="s">
        <v>879</v>
      </c>
      <c r="C21" s="23"/>
    </row>
    <row r="22" spans="1:3" ht="12.75">
      <c r="A22" s="5" t="s">
        <v>424</v>
      </c>
      <c r="B22" s="87" t="s">
        <v>879</v>
      </c>
      <c r="C22" s="5"/>
    </row>
    <row r="23" spans="1:3" ht="12.75">
      <c r="A23" s="5" t="s">
        <v>439</v>
      </c>
      <c r="B23" s="87" t="s">
        <v>879</v>
      </c>
      <c r="C23" s="5"/>
    </row>
    <row r="24" spans="1:3" ht="12.75">
      <c r="A24" s="5" t="s">
        <v>440</v>
      </c>
      <c r="B24" s="87" t="s">
        <v>879</v>
      </c>
      <c r="C24" s="5"/>
    </row>
    <row r="25" spans="1:3" ht="12.75">
      <c r="A25" s="5" t="s">
        <v>441</v>
      </c>
      <c r="B25" s="87" t="s">
        <v>879</v>
      </c>
      <c r="C25" s="5"/>
    </row>
    <row r="26" spans="1:3" ht="12.75">
      <c r="A26" s="5" t="s">
        <v>442</v>
      </c>
      <c r="B26" s="87" t="s">
        <v>879</v>
      </c>
      <c r="C26" s="5"/>
    </row>
    <row r="27" spans="1:3" ht="12.75">
      <c r="A27" s="5" t="s">
        <v>443</v>
      </c>
      <c r="B27" s="87" t="s">
        <v>879</v>
      </c>
      <c r="C27" s="5"/>
    </row>
    <row r="28" spans="1:3" ht="12.75">
      <c r="A28" s="5" t="s">
        <v>444</v>
      </c>
      <c r="B28" s="87" t="s">
        <v>879</v>
      </c>
      <c r="C28" s="23"/>
    </row>
    <row r="29" spans="1:3" ht="12.75">
      <c r="A29" s="5" t="s">
        <v>445</v>
      </c>
      <c r="B29" s="87" t="s">
        <v>879</v>
      </c>
      <c r="C29" s="5"/>
    </row>
    <row r="30" spans="1:3" ht="12.75">
      <c r="A30" s="5" t="s">
        <v>446</v>
      </c>
      <c r="B30" s="87" t="s">
        <v>879</v>
      </c>
      <c r="C30" s="23"/>
    </row>
    <row r="31" spans="1:3" ht="12.75">
      <c r="A31" s="5" t="s">
        <v>447</v>
      </c>
      <c r="B31" s="87" t="s">
        <v>879</v>
      </c>
      <c r="C31" s="23"/>
    </row>
    <row r="32" spans="1:3" ht="12.75">
      <c r="A32" s="5" t="s">
        <v>119</v>
      </c>
      <c r="B32" s="87" t="s">
        <v>879</v>
      </c>
      <c r="C32" s="6"/>
    </row>
    <row r="33" spans="1:3" ht="12.75">
      <c r="A33" s="5" t="s">
        <v>448</v>
      </c>
      <c r="B33" s="87" t="s">
        <v>879</v>
      </c>
      <c r="C33" s="5"/>
    </row>
    <row r="34" spans="1:3" ht="12.75">
      <c r="A34" s="5" t="s">
        <v>382</v>
      </c>
      <c r="B34" s="87" t="s">
        <v>879</v>
      </c>
      <c r="C34" s="5"/>
    </row>
    <row r="35" spans="1:3" ht="12.75">
      <c r="A35" s="5" t="s">
        <v>449</v>
      </c>
      <c r="B35" s="87" t="s">
        <v>879</v>
      </c>
      <c r="C35" s="23"/>
    </row>
    <row r="36" spans="1:3" ht="12.75">
      <c r="A36" s="5" t="s">
        <v>450</v>
      </c>
      <c r="B36" s="87" t="s">
        <v>879</v>
      </c>
      <c r="C36" s="23"/>
    </row>
    <row r="37" spans="1:3" ht="12.75">
      <c r="A37" s="5" t="s">
        <v>451</v>
      </c>
      <c r="B37" s="87" t="s">
        <v>879</v>
      </c>
      <c r="C37" s="23"/>
    </row>
    <row r="38" spans="1:3" ht="12.75">
      <c r="A38" s="5" t="s">
        <v>452</v>
      </c>
      <c r="B38" s="87" t="s">
        <v>879</v>
      </c>
      <c r="C38" s="5"/>
    </row>
    <row r="39" spans="1:3" ht="12.75">
      <c r="A39" s="5" t="s">
        <v>453</v>
      </c>
      <c r="B39" s="87" t="s">
        <v>879</v>
      </c>
      <c r="C39" s="23"/>
    </row>
    <row r="41" spans="1:3" ht="25.5">
      <c r="A41" s="76" t="s">
        <v>1252</v>
      </c>
      <c r="B41" s="74"/>
      <c r="C41" s="23" t="s">
        <v>510</v>
      </c>
    </row>
    <row r="42" spans="1:3" ht="25.5">
      <c r="A42" s="76" t="s">
        <v>1253</v>
      </c>
      <c r="B42" s="74"/>
      <c r="C42" s="23" t="s">
        <v>510</v>
      </c>
    </row>
    <row r="43" spans="1:3" ht="12.75">
      <c r="A43" s="76" t="s">
        <v>1254</v>
      </c>
      <c r="B43" s="74"/>
      <c r="C43" s="23" t="s">
        <v>510</v>
      </c>
    </row>
    <row r="44" spans="1:3" ht="38.25">
      <c r="A44" s="76" t="s">
        <v>1255</v>
      </c>
      <c r="B44" s="74"/>
      <c r="C44" s="23" t="s">
        <v>510</v>
      </c>
    </row>
    <row r="45" spans="1:3" ht="51">
      <c r="A45" s="76" t="s">
        <v>1256</v>
      </c>
      <c r="B45" s="74"/>
      <c r="C45" s="23" t="s">
        <v>510</v>
      </c>
    </row>
    <row r="46" spans="1:3" ht="51">
      <c r="A46" s="76" t="s">
        <v>1257</v>
      </c>
      <c r="B46" s="74"/>
      <c r="C46" s="23" t="s">
        <v>510</v>
      </c>
    </row>
    <row r="47" spans="1:3" ht="25.5">
      <c r="A47" s="76" t="s">
        <v>1258</v>
      </c>
      <c r="B47" s="74"/>
      <c r="C47" s="23"/>
    </row>
    <row r="49" spans="1:3" ht="12.75">
      <c r="A49" s="120" t="s">
        <v>154</v>
      </c>
      <c r="B49" s="120"/>
      <c r="C49" s="120"/>
    </row>
    <row r="50" spans="1:3" ht="12.75">
      <c r="A50" s="121"/>
      <c r="B50" s="122"/>
      <c r="C50" s="123"/>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4"/>
      <c r="B58" s="125"/>
      <c r="C58" s="126"/>
    </row>
    <row r="59" spans="1:3" ht="12.75">
      <c r="A59" s="127"/>
      <c r="B59" s="128"/>
      <c r="C59" s="129"/>
    </row>
  </sheetData>
  <mergeCells count="2">
    <mergeCell ref="A49:C49"/>
    <mergeCell ref="A50:C59"/>
  </mergeCells>
  <dataValidations count="8">
    <dataValidation allowBlank="1" showInputMessage="1" showErrorMessage="1" sqref="B21:B39 B3 B14:B19"/>
    <dataValidation errorStyle="warning" type="list" allowBlank="1" showInputMessage="1" showErrorMessage="1" sqref="B20">
      <formula1>Controllable_Asset_Indicator</formula1>
    </dataValidation>
    <dataValidation type="list" allowBlank="1" showInputMessage="1" showErrorMessage="1" sqref="B41:B46">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9" r:id="rId3"/>
  <headerFooter alignWithMargins="0">
    <oddFooter>&amp;L&amp;F&amp;C&amp;P of &amp;N&amp;R&amp;A</oddFooter>
  </headerFooter>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218</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5"/>
    </row>
    <row r="21" spans="1:3" ht="12.75">
      <c r="A21" s="5" t="s">
        <v>424</v>
      </c>
      <c r="B21" s="87" t="s">
        <v>879</v>
      </c>
      <c r="C21" s="5"/>
    </row>
    <row r="22" spans="1:3" ht="12.75">
      <c r="A22" s="5" t="s">
        <v>439</v>
      </c>
      <c r="B22" s="87" t="s">
        <v>879</v>
      </c>
      <c r="C22" s="5"/>
    </row>
    <row r="23" spans="1:3" ht="12.75">
      <c r="A23" s="5" t="s">
        <v>440</v>
      </c>
      <c r="B23" s="87" t="s">
        <v>879</v>
      </c>
      <c r="C23" s="23"/>
    </row>
    <row r="24" spans="1:3" ht="12.75">
      <c r="A24" s="5" t="s">
        <v>441</v>
      </c>
      <c r="B24" s="87" t="s">
        <v>879</v>
      </c>
      <c r="C24" s="5"/>
    </row>
    <row r="25" spans="1:3" ht="12.75">
      <c r="A25" s="5" t="s">
        <v>442</v>
      </c>
      <c r="B25" s="87" t="s">
        <v>879</v>
      </c>
      <c r="C25" s="5"/>
    </row>
    <row r="26" spans="1:3" ht="12.75">
      <c r="A26" s="5" t="s">
        <v>443</v>
      </c>
      <c r="B26" s="87" t="s">
        <v>879</v>
      </c>
      <c r="C26" s="23"/>
    </row>
    <row r="27" spans="1:3" ht="12.75">
      <c r="A27" s="5" t="s">
        <v>444</v>
      </c>
      <c r="B27" s="87" t="s">
        <v>879</v>
      </c>
      <c r="C27" s="5"/>
    </row>
    <row r="28" spans="1:3" ht="12.75">
      <c r="A28" s="5" t="s">
        <v>445</v>
      </c>
      <c r="B28" s="87" t="s">
        <v>879</v>
      </c>
      <c r="C28" s="23"/>
    </row>
    <row r="29" spans="1:3" ht="12.75">
      <c r="A29" s="5" t="s">
        <v>446</v>
      </c>
      <c r="B29" s="87" t="s">
        <v>879</v>
      </c>
      <c r="C29" s="23"/>
    </row>
    <row r="30" spans="1:3" ht="12.75">
      <c r="A30" s="5" t="s">
        <v>447</v>
      </c>
      <c r="B30" s="87" t="s">
        <v>879</v>
      </c>
      <c r="C30" s="6"/>
    </row>
    <row r="31" spans="1:3" ht="12.75">
      <c r="A31" s="5" t="s">
        <v>119</v>
      </c>
      <c r="B31" s="87" t="s">
        <v>879</v>
      </c>
      <c r="C31" s="5"/>
    </row>
    <row r="32" spans="1:3" ht="12.75">
      <c r="A32" s="5" t="s">
        <v>448</v>
      </c>
      <c r="B32" s="87" t="s">
        <v>879</v>
      </c>
      <c r="C32" s="5"/>
    </row>
    <row r="33" spans="1:3" ht="12.75">
      <c r="A33" s="5" t="s">
        <v>382</v>
      </c>
      <c r="B33" s="87" t="s">
        <v>879</v>
      </c>
      <c r="C33" s="23"/>
    </row>
    <row r="34" spans="1:3" ht="12.75">
      <c r="A34" s="5" t="s">
        <v>449</v>
      </c>
      <c r="B34" s="87" t="s">
        <v>879</v>
      </c>
      <c r="C34" s="23"/>
    </row>
    <row r="35" spans="1:3" ht="12.75">
      <c r="A35" s="5" t="s">
        <v>450</v>
      </c>
      <c r="B35" s="87" t="s">
        <v>879</v>
      </c>
      <c r="C35" s="23"/>
    </row>
    <row r="36" spans="1:3" ht="12.75">
      <c r="A36" s="5" t="s">
        <v>451</v>
      </c>
      <c r="B36" s="87" t="s">
        <v>879</v>
      </c>
      <c r="C36" s="5"/>
    </row>
    <row r="37" spans="1:3" ht="12.75">
      <c r="A37" s="5" t="s">
        <v>452</v>
      </c>
      <c r="B37" s="87" t="s">
        <v>879</v>
      </c>
      <c r="C37" s="23"/>
    </row>
    <row r="38" spans="1:3" ht="12.75">
      <c r="A38" s="5" t="s">
        <v>453</v>
      </c>
      <c r="B38" s="87" t="s">
        <v>879</v>
      </c>
      <c r="C38" s="5"/>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7">
    <dataValidation allowBlank="1" showInputMessage="1" showErrorMessage="1" sqref="B14:B38 B3"/>
    <dataValidation type="list" allowBlank="1" showInputMessage="1" showErrorMessage="1" sqref="B40:B45">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xml><?xml version="1.0" encoding="utf-8"?>
<worksheet xmlns="http://schemas.openxmlformats.org/spreadsheetml/2006/main" xmlns:r="http://schemas.openxmlformats.org/officeDocument/2006/relationships">
  <dimension ref="A1:D167"/>
  <sheetViews>
    <sheetView workbookViewId="0" topLeftCell="A1">
      <selection activeCell="A1" sqref="A1:IV16384"/>
    </sheetView>
  </sheetViews>
  <sheetFormatPr defaultColWidth="9.140625" defaultRowHeight="12.75"/>
  <sheetData>
    <row r="1" spans="1:4" ht="13.5" thickBot="1">
      <c r="A1" s="36" t="s">
        <v>886</v>
      </c>
      <c r="B1" s="37" t="s">
        <v>887</v>
      </c>
      <c r="C1" s="37" t="s">
        <v>888</v>
      </c>
      <c r="D1" s="38" t="s">
        <v>834</v>
      </c>
    </row>
    <row r="2" spans="1:4" ht="12.75">
      <c r="A2" s="39" t="s">
        <v>889</v>
      </c>
      <c r="B2" s="39" t="s">
        <v>889</v>
      </c>
      <c r="C2" s="40" t="s">
        <v>890</v>
      </c>
      <c r="D2" s="41" t="s">
        <v>891</v>
      </c>
    </row>
    <row r="3" spans="1:4" ht="12.75">
      <c r="A3" s="42" t="s">
        <v>892</v>
      </c>
      <c r="B3" s="42" t="s">
        <v>892</v>
      </c>
      <c r="C3" s="43" t="s">
        <v>893</v>
      </c>
      <c r="D3" s="44" t="s">
        <v>894</v>
      </c>
    </row>
    <row r="4" spans="1:4" ht="12.75">
      <c r="A4" s="42" t="s">
        <v>895</v>
      </c>
      <c r="B4" s="42" t="s">
        <v>895</v>
      </c>
      <c r="C4" s="45" t="s">
        <v>896</v>
      </c>
      <c r="D4" s="44" t="s">
        <v>897</v>
      </c>
    </row>
    <row r="5" spans="1:4" ht="12.75">
      <c r="A5" s="42" t="s">
        <v>898</v>
      </c>
      <c r="B5" s="46" t="s">
        <v>898</v>
      </c>
      <c r="C5" s="47" t="s">
        <v>896</v>
      </c>
      <c r="D5" s="44" t="s">
        <v>899</v>
      </c>
    </row>
    <row r="6" spans="1:4" ht="12.75">
      <c r="A6" s="42" t="s">
        <v>900</v>
      </c>
      <c r="B6" s="46" t="s">
        <v>900</v>
      </c>
      <c r="C6" s="45" t="s">
        <v>901</v>
      </c>
      <c r="D6" s="44" t="s">
        <v>902</v>
      </c>
    </row>
    <row r="7" spans="1:4" ht="12.75">
      <c r="A7" s="42" t="s">
        <v>903</v>
      </c>
      <c r="B7" s="46" t="s">
        <v>903</v>
      </c>
      <c r="C7" s="45" t="s">
        <v>904</v>
      </c>
      <c r="D7" s="44" t="s">
        <v>905</v>
      </c>
    </row>
    <row r="8" spans="1:4" ht="12.75">
      <c r="A8" s="42" t="s">
        <v>906</v>
      </c>
      <c r="B8" s="42" t="s">
        <v>906</v>
      </c>
      <c r="C8" s="45" t="s">
        <v>907</v>
      </c>
      <c r="D8" s="44" t="s">
        <v>908</v>
      </c>
    </row>
    <row r="9" spans="1:4" ht="12.75">
      <c r="A9" s="42" t="s">
        <v>909</v>
      </c>
      <c r="B9" s="42" t="s">
        <v>909</v>
      </c>
      <c r="C9" s="45" t="s">
        <v>904</v>
      </c>
      <c r="D9" s="44" t="s">
        <v>910</v>
      </c>
    </row>
    <row r="10" spans="1:4" ht="12.75">
      <c r="A10" s="42" t="s">
        <v>911</v>
      </c>
      <c r="B10" s="46" t="s">
        <v>912</v>
      </c>
      <c r="C10" s="45" t="s">
        <v>904</v>
      </c>
      <c r="D10" s="44" t="s">
        <v>913</v>
      </c>
    </row>
    <row r="11" spans="1:4" ht="12.75">
      <c r="A11" s="42" t="s">
        <v>914</v>
      </c>
      <c r="B11" s="46" t="s">
        <v>914</v>
      </c>
      <c r="C11" s="47" t="s">
        <v>896</v>
      </c>
      <c r="D11" s="48" t="s">
        <v>915</v>
      </c>
    </row>
    <row r="12" spans="1:4" ht="12.75">
      <c r="A12" s="42" t="s">
        <v>916</v>
      </c>
      <c r="B12" s="46" t="s">
        <v>916</v>
      </c>
      <c r="C12" s="45" t="s">
        <v>917</v>
      </c>
      <c r="D12" s="44" t="s">
        <v>918</v>
      </c>
    </row>
    <row r="13" spans="1:4" ht="12.75">
      <c r="A13" s="42" t="s">
        <v>919</v>
      </c>
      <c r="B13" s="46" t="s">
        <v>919</v>
      </c>
      <c r="C13" s="43" t="s">
        <v>904</v>
      </c>
      <c r="D13" s="44" t="s">
        <v>920</v>
      </c>
    </row>
    <row r="14" spans="1:4" ht="12.75">
      <c r="A14" s="42" t="s">
        <v>921</v>
      </c>
      <c r="B14" s="46" t="s">
        <v>921</v>
      </c>
      <c r="C14" s="43" t="s">
        <v>890</v>
      </c>
      <c r="D14" s="44" t="s">
        <v>922</v>
      </c>
    </row>
    <row r="15" spans="1:4" ht="12.75">
      <c r="A15" s="42" t="s">
        <v>923</v>
      </c>
      <c r="B15" s="46" t="s">
        <v>923</v>
      </c>
      <c r="C15" s="43" t="s">
        <v>890</v>
      </c>
      <c r="D15" s="44" t="s">
        <v>924</v>
      </c>
    </row>
    <row r="16" spans="1:4" ht="12.75">
      <c r="A16" s="42" t="s">
        <v>925</v>
      </c>
      <c r="B16" s="46" t="s">
        <v>925</v>
      </c>
      <c r="C16" s="43" t="s">
        <v>890</v>
      </c>
      <c r="D16" s="44" t="s">
        <v>926</v>
      </c>
    </row>
    <row r="17" spans="1:4" ht="12.75">
      <c r="A17" s="42" t="s">
        <v>927</v>
      </c>
      <c r="B17" s="46" t="s">
        <v>927</v>
      </c>
      <c r="C17" s="43" t="s">
        <v>890</v>
      </c>
      <c r="D17" s="44" t="s">
        <v>928</v>
      </c>
    </row>
    <row r="18" spans="1:4" ht="12.75">
      <c r="A18" s="42" t="s">
        <v>929</v>
      </c>
      <c r="B18" s="46" t="s">
        <v>929</v>
      </c>
      <c r="C18" s="43" t="s">
        <v>890</v>
      </c>
      <c r="D18" s="44" t="s">
        <v>930</v>
      </c>
    </row>
    <row r="19" spans="1:4" ht="12.75">
      <c r="A19" s="42" t="s">
        <v>931</v>
      </c>
      <c r="B19" s="46" t="s">
        <v>931</v>
      </c>
      <c r="C19" s="43" t="s">
        <v>890</v>
      </c>
      <c r="D19" s="44" t="s">
        <v>932</v>
      </c>
    </row>
    <row r="20" spans="1:4" ht="12.75">
      <c r="A20" s="42" t="s">
        <v>933</v>
      </c>
      <c r="B20" s="46" t="s">
        <v>933</v>
      </c>
      <c r="C20" s="43" t="s">
        <v>890</v>
      </c>
      <c r="D20" s="49" t="s">
        <v>934</v>
      </c>
    </row>
    <row r="21" spans="1:4" ht="12.75">
      <c r="A21" s="42" t="s">
        <v>935</v>
      </c>
      <c r="B21" s="50">
        <v>1004</v>
      </c>
      <c r="C21" s="43" t="s">
        <v>904</v>
      </c>
      <c r="D21" s="44" t="s">
        <v>936</v>
      </c>
    </row>
    <row r="22" spans="1:4" ht="12.75">
      <c r="A22" s="42" t="s">
        <v>937</v>
      </c>
      <c r="B22" s="43">
        <v>1102</v>
      </c>
      <c r="C22" s="43" t="s">
        <v>904</v>
      </c>
      <c r="D22" s="44" t="s">
        <v>938</v>
      </c>
    </row>
    <row r="23" spans="1:4" ht="12.75">
      <c r="A23" s="42" t="s">
        <v>939</v>
      </c>
      <c r="B23" s="43">
        <v>1210</v>
      </c>
      <c r="C23" s="43" t="s">
        <v>901</v>
      </c>
      <c r="D23" s="44" t="s">
        <v>940</v>
      </c>
    </row>
    <row r="24" spans="1:4" ht="12.75">
      <c r="A24" s="42" t="s">
        <v>941</v>
      </c>
      <c r="B24" s="50">
        <v>1601</v>
      </c>
      <c r="C24" s="43" t="s">
        <v>893</v>
      </c>
      <c r="D24" s="44" t="s">
        <v>942</v>
      </c>
    </row>
    <row r="25" spans="1:4" ht="12.75">
      <c r="A25" s="42" t="s">
        <v>943</v>
      </c>
      <c r="B25" s="50">
        <v>1602</v>
      </c>
      <c r="C25" s="43" t="s">
        <v>893</v>
      </c>
      <c r="D25" s="44" t="s">
        <v>944</v>
      </c>
    </row>
    <row r="26" spans="1:4" ht="12.75">
      <c r="A26" s="42" t="s">
        <v>945</v>
      </c>
      <c r="B26" s="50">
        <v>1603</v>
      </c>
      <c r="C26" s="43" t="s">
        <v>893</v>
      </c>
      <c r="D26" s="44" t="s">
        <v>946</v>
      </c>
    </row>
    <row r="27" spans="1:4" ht="12.75">
      <c r="A27" s="42" t="s">
        <v>947</v>
      </c>
      <c r="B27" s="50">
        <v>1604</v>
      </c>
      <c r="C27" s="43" t="s">
        <v>893</v>
      </c>
      <c r="D27" s="44" t="s">
        <v>948</v>
      </c>
    </row>
    <row r="28" spans="1:4" ht="12.75">
      <c r="A28" s="42" t="s">
        <v>949</v>
      </c>
      <c r="B28" s="42" t="s">
        <v>949</v>
      </c>
      <c r="C28" s="43" t="s">
        <v>890</v>
      </c>
      <c r="D28" s="44" t="s">
        <v>950</v>
      </c>
    </row>
    <row r="29" spans="1:4" ht="12.75">
      <c r="A29" s="42" t="s">
        <v>951</v>
      </c>
      <c r="B29" s="42" t="s">
        <v>951</v>
      </c>
      <c r="C29" s="43" t="s">
        <v>890</v>
      </c>
      <c r="D29" s="44" t="s">
        <v>952</v>
      </c>
    </row>
    <row r="30" spans="1:4" ht="12.75">
      <c r="A30" s="42" t="s">
        <v>953</v>
      </c>
      <c r="B30" s="50">
        <v>1902</v>
      </c>
      <c r="C30" s="43" t="s">
        <v>890</v>
      </c>
      <c r="D30" s="51" t="s">
        <v>954</v>
      </c>
    </row>
    <row r="31" spans="1:4" ht="12.75">
      <c r="A31" s="42" t="s">
        <v>955</v>
      </c>
      <c r="B31" s="50">
        <v>2702</v>
      </c>
      <c r="C31" s="52" t="s">
        <v>896</v>
      </c>
      <c r="D31" s="48" t="s">
        <v>956</v>
      </c>
    </row>
    <row r="32" spans="1:4" ht="12.75">
      <c r="A32" s="42" t="s">
        <v>957</v>
      </c>
      <c r="B32" s="50">
        <v>2810</v>
      </c>
      <c r="C32" s="52" t="s">
        <v>896</v>
      </c>
      <c r="D32" s="48" t="s">
        <v>958</v>
      </c>
    </row>
    <row r="33" spans="1:4" ht="12.75">
      <c r="A33" s="42" t="s">
        <v>959</v>
      </c>
      <c r="B33" s="43">
        <v>2812</v>
      </c>
      <c r="C33" s="52" t="s">
        <v>896</v>
      </c>
      <c r="D33" s="48" t="s">
        <v>960</v>
      </c>
    </row>
    <row r="34" spans="1:4" ht="12.75">
      <c r="A34" s="42" t="s">
        <v>961</v>
      </c>
      <c r="B34" s="50">
        <v>2814</v>
      </c>
      <c r="C34" s="52" t="s">
        <v>907</v>
      </c>
      <c r="D34" s="48" t="s">
        <v>962</v>
      </c>
    </row>
    <row r="35" spans="1:4" ht="12.75">
      <c r="A35" s="53" t="s">
        <v>963</v>
      </c>
      <c r="B35" s="43">
        <v>2823</v>
      </c>
      <c r="C35" s="52" t="s">
        <v>896</v>
      </c>
      <c r="D35" s="48" t="s">
        <v>964</v>
      </c>
    </row>
    <row r="36" spans="1:4" ht="12.75">
      <c r="A36" s="42" t="s">
        <v>965</v>
      </c>
      <c r="B36" s="43">
        <v>2828</v>
      </c>
      <c r="C36" s="52" t="s">
        <v>896</v>
      </c>
      <c r="D36" s="48" t="s">
        <v>966</v>
      </c>
    </row>
    <row r="37" spans="1:4" ht="12.75">
      <c r="A37" s="42" t="s">
        <v>967</v>
      </c>
      <c r="B37" s="54">
        <v>2831</v>
      </c>
      <c r="C37" s="52" t="s">
        <v>896</v>
      </c>
      <c r="D37" s="48" t="s">
        <v>968</v>
      </c>
    </row>
    <row r="38" spans="1:4" ht="12.75">
      <c r="A38" s="42" t="s">
        <v>969</v>
      </c>
      <c r="B38" s="43">
        <v>2832</v>
      </c>
      <c r="C38" s="52" t="s">
        <v>896</v>
      </c>
      <c r="D38" s="55" t="s">
        <v>970</v>
      </c>
    </row>
    <row r="39" spans="1:4" ht="12.75">
      <c r="A39" s="42" t="s">
        <v>971</v>
      </c>
      <c r="B39" s="50">
        <v>2840</v>
      </c>
      <c r="C39" s="52" t="s">
        <v>896</v>
      </c>
      <c r="D39" s="48" t="s">
        <v>972</v>
      </c>
    </row>
    <row r="40" spans="1:4" ht="12.75">
      <c r="A40" s="42" t="s">
        <v>973</v>
      </c>
      <c r="B40" s="50">
        <v>2841</v>
      </c>
      <c r="C40" s="52" t="s">
        <v>896</v>
      </c>
      <c r="D40" s="48" t="s">
        <v>974</v>
      </c>
    </row>
    <row r="41" spans="1:4" ht="12.75">
      <c r="A41" s="42" t="s">
        <v>975</v>
      </c>
      <c r="B41" s="43">
        <v>2903</v>
      </c>
      <c r="C41" s="52" t="s">
        <v>896</v>
      </c>
      <c r="D41" s="48" t="s">
        <v>976</v>
      </c>
    </row>
    <row r="42" spans="1:4" ht="12.75">
      <c r="A42" s="42" t="s">
        <v>977</v>
      </c>
      <c r="B42" s="50">
        <v>3003</v>
      </c>
      <c r="C42" s="43" t="s">
        <v>896</v>
      </c>
      <c r="D42" s="51" t="s">
        <v>978</v>
      </c>
    </row>
    <row r="43" spans="1:4" ht="12.75">
      <c r="A43" s="42" t="s">
        <v>979</v>
      </c>
      <c r="B43" s="50">
        <v>3004</v>
      </c>
      <c r="C43" s="43" t="s">
        <v>896</v>
      </c>
      <c r="D43" s="44" t="s">
        <v>980</v>
      </c>
    </row>
    <row r="44" spans="1:4" ht="12.75">
      <c r="A44" s="42" t="s">
        <v>981</v>
      </c>
      <c r="B44" s="50">
        <v>3005</v>
      </c>
      <c r="C44" s="43" t="s">
        <v>896</v>
      </c>
      <c r="D44" s="44" t="s">
        <v>982</v>
      </c>
    </row>
    <row r="45" spans="1:4" ht="12.75">
      <c r="A45" s="42" t="s">
        <v>983</v>
      </c>
      <c r="B45" s="50">
        <v>3101</v>
      </c>
      <c r="C45" s="43" t="s">
        <v>896</v>
      </c>
      <c r="D45" s="44" t="s">
        <v>984</v>
      </c>
    </row>
    <row r="46" spans="1:4" ht="12.75">
      <c r="A46" s="42" t="s">
        <v>985</v>
      </c>
      <c r="B46" s="43">
        <v>3105</v>
      </c>
      <c r="C46" s="52" t="s">
        <v>896</v>
      </c>
      <c r="D46" s="48" t="s">
        <v>986</v>
      </c>
    </row>
    <row r="47" spans="1:4" ht="12.75">
      <c r="A47" s="42" t="s">
        <v>987</v>
      </c>
      <c r="B47" s="43">
        <v>3106</v>
      </c>
      <c r="C47" s="52" t="s">
        <v>896</v>
      </c>
      <c r="D47" s="48" t="s">
        <v>988</v>
      </c>
    </row>
    <row r="48" spans="1:4" ht="12.75">
      <c r="A48" s="42" t="s">
        <v>989</v>
      </c>
      <c r="B48" s="50">
        <v>3202</v>
      </c>
      <c r="C48" s="43" t="s">
        <v>893</v>
      </c>
      <c r="D48" s="44" t="s">
        <v>990</v>
      </c>
    </row>
    <row r="49" spans="1:4" ht="12.75">
      <c r="A49" s="42" t="s">
        <v>991</v>
      </c>
      <c r="B49" s="50">
        <v>3603</v>
      </c>
      <c r="C49" s="43" t="s">
        <v>907</v>
      </c>
      <c r="D49" s="44" t="s">
        <v>992</v>
      </c>
    </row>
    <row r="50" spans="1:4" ht="12.75">
      <c r="A50" s="42" t="s">
        <v>993</v>
      </c>
      <c r="B50" s="43">
        <v>3604</v>
      </c>
      <c r="C50" s="52" t="s">
        <v>896</v>
      </c>
      <c r="D50" s="44" t="s">
        <v>994</v>
      </c>
    </row>
    <row r="51" spans="1:4" ht="12.75">
      <c r="A51" s="42" t="s">
        <v>995</v>
      </c>
      <c r="B51" s="50">
        <v>4003</v>
      </c>
      <c r="C51" s="43" t="s">
        <v>907</v>
      </c>
      <c r="D51" s="51" t="s">
        <v>996</v>
      </c>
    </row>
    <row r="52" spans="1:4" ht="12.75">
      <c r="A52" s="42" t="s">
        <v>997</v>
      </c>
      <c r="B52" s="50">
        <v>4006</v>
      </c>
      <c r="C52" s="43" t="s">
        <v>907</v>
      </c>
      <c r="D52" s="44" t="s">
        <v>998</v>
      </c>
    </row>
    <row r="53" spans="1:4" ht="12.75">
      <c r="A53" s="42" t="s">
        <v>999</v>
      </c>
      <c r="B53" s="50">
        <v>4007</v>
      </c>
      <c r="C53" s="43" t="s">
        <v>907</v>
      </c>
      <c r="D53" s="44" t="s">
        <v>1000</v>
      </c>
    </row>
    <row r="54" spans="1:4" ht="12.75">
      <c r="A54" s="42" t="s">
        <v>1001</v>
      </c>
      <c r="B54" s="50">
        <v>4008</v>
      </c>
      <c r="C54" s="43" t="s">
        <v>907</v>
      </c>
      <c r="D54" s="44" t="s">
        <v>1002</v>
      </c>
    </row>
    <row r="55" spans="1:4" ht="12.75">
      <c r="A55" s="42" t="s">
        <v>1003</v>
      </c>
      <c r="B55" s="50">
        <v>4009</v>
      </c>
      <c r="C55" s="43" t="s">
        <v>907</v>
      </c>
      <c r="D55" s="44" t="s">
        <v>1004</v>
      </c>
    </row>
    <row r="56" spans="1:4" ht="12.75">
      <c r="A56" s="42" t="s">
        <v>1005</v>
      </c>
      <c r="B56" s="50">
        <v>4010</v>
      </c>
      <c r="C56" s="43" t="s">
        <v>907</v>
      </c>
      <c r="D56" s="44" t="s">
        <v>1006</v>
      </c>
    </row>
    <row r="57" spans="1:4" ht="12.75">
      <c r="A57" s="42" t="s">
        <v>1007</v>
      </c>
      <c r="B57" s="50">
        <v>4015</v>
      </c>
      <c r="C57" s="43" t="s">
        <v>907</v>
      </c>
      <c r="D57" s="44" t="s">
        <v>1008</v>
      </c>
    </row>
    <row r="58" spans="1:4" ht="12.75">
      <c r="A58" s="42" t="s">
        <v>1009</v>
      </c>
      <c r="B58" s="50">
        <v>4016</v>
      </c>
      <c r="C58" s="43" t="s">
        <v>907</v>
      </c>
      <c r="D58" s="44" t="s">
        <v>1010</v>
      </c>
    </row>
    <row r="59" spans="1:4" ht="12.75">
      <c r="A59" s="42" t="s">
        <v>1011</v>
      </c>
      <c r="B59" s="50">
        <v>4017</v>
      </c>
      <c r="C59" s="43" t="s">
        <v>907</v>
      </c>
      <c r="D59" s="51" t="s">
        <v>1012</v>
      </c>
    </row>
    <row r="60" spans="1:4" ht="12.75">
      <c r="A60" s="42" t="s">
        <v>1013</v>
      </c>
      <c r="B60" s="50">
        <v>4018</v>
      </c>
      <c r="C60" s="43" t="s">
        <v>907</v>
      </c>
      <c r="D60" s="44" t="s">
        <v>1014</v>
      </c>
    </row>
    <row r="61" spans="1:4" ht="12.75">
      <c r="A61" s="42" t="s">
        <v>1015</v>
      </c>
      <c r="B61" s="50">
        <v>4102</v>
      </c>
      <c r="C61" s="43" t="s">
        <v>901</v>
      </c>
      <c r="D61" s="44" t="s">
        <v>1016</v>
      </c>
    </row>
    <row r="62" spans="1:4" ht="12.75">
      <c r="A62" s="42" t="s">
        <v>1017</v>
      </c>
      <c r="B62" s="50">
        <v>4103</v>
      </c>
      <c r="C62" s="43" t="s">
        <v>901</v>
      </c>
      <c r="D62" s="44" t="s">
        <v>1018</v>
      </c>
    </row>
    <row r="63" spans="1:4" ht="12.75">
      <c r="A63" s="42" t="s">
        <v>1019</v>
      </c>
      <c r="B63" s="50">
        <v>4107</v>
      </c>
      <c r="C63" s="43" t="s">
        <v>907</v>
      </c>
      <c r="D63" s="44" t="s">
        <v>1020</v>
      </c>
    </row>
    <row r="64" spans="1:4" ht="12.75">
      <c r="A64" s="42" t="s">
        <v>1021</v>
      </c>
      <c r="B64" s="50">
        <v>4117</v>
      </c>
      <c r="C64" s="43" t="s">
        <v>901</v>
      </c>
      <c r="D64" s="44" t="s">
        <v>1022</v>
      </c>
    </row>
    <row r="65" spans="1:4" ht="12.75">
      <c r="A65" s="42" t="s">
        <v>1023</v>
      </c>
      <c r="B65" s="50">
        <v>4120</v>
      </c>
      <c r="C65" s="43" t="s">
        <v>901</v>
      </c>
      <c r="D65" s="44" t="s">
        <v>1024</v>
      </c>
    </row>
    <row r="66" spans="1:4" ht="12.75">
      <c r="A66" s="42" t="s">
        <v>1025</v>
      </c>
      <c r="B66" s="43">
        <v>4301</v>
      </c>
      <c r="C66" s="52" t="s">
        <v>907</v>
      </c>
      <c r="D66" s="48" t="s">
        <v>1026</v>
      </c>
    </row>
    <row r="67" spans="1:4" ht="12.75">
      <c r="A67" s="42" t="s">
        <v>1027</v>
      </c>
      <c r="B67" s="43">
        <v>4302</v>
      </c>
      <c r="C67" s="43" t="s">
        <v>907</v>
      </c>
      <c r="D67" s="44" t="s">
        <v>1028</v>
      </c>
    </row>
    <row r="68" spans="1:4" ht="12.75">
      <c r="A68" s="42" t="s">
        <v>1029</v>
      </c>
      <c r="B68" s="50">
        <v>4303</v>
      </c>
      <c r="C68" s="52" t="s">
        <v>896</v>
      </c>
      <c r="D68" s="48" t="s">
        <v>1030</v>
      </c>
    </row>
    <row r="69" spans="1:4" ht="12.75">
      <c r="A69" s="42" t="s">
        <v>1031</v>
      </c>
      <c r="B69" s="43">
        <v>4304</v>
      </c>
      <c r="C69" s="52" t="s">
        <v>907</v>
      </c>
      <c r="D69" s="48" t="s">
        <v>1032</v>
      </c>
    </row>
    <row r="70" spans="1:4" ht="12.75">
      <c r="A70" s="42" t="s">
        <v>1031</v>
      </c>
      <c r="B70" s="56" t="s">
        <v>1031</v>
      </c>
      <c r="C70" s="52" t="s">
        <v>907</v>
      </c>
      <c r="D70" s="44" t="s">
        <v>1033</v>
      </c>
    </row>
    <row r="71" spans="1:4" ht="12.75">
      <c r="A71" s="42" t="s">
        <v>1034</v>
      </c>
      <c r="B71" s="43">
        <v>4305</v>
      </c>
      <c r="C71" s="52" t="s">
        <v>907</v>
      </c>
      <c r="D71" s="48" t="s">
        <v>1035</v>
      </c>
    </row>
    <row r="72" spans="1:4" ht="12.75">
      <c r="A72" s="42" t="s">
        <v>1036</v>
      </c>
      <c r="B72" s="50">
        <v>4306</v>
      </c>
      <c r="C72" s="52" t="s">
        <v>907</v>
      </c>
      <c r="D72" s="48" t="s">
        <v>1037</v>
      </c>
    </row>
    <row r="73" spans="1:4" ht="12.75">
      <c r="A73" s="56" t="s">
        <v>1038</v>
      </c>
      <c r="B73" s="50">
        <v>4307</v>
      </c>
      <c r="C73" s="52" t="s">
        <v>907</v>
      </c>
      <c r="D73" s="48" t="s">
        <v>1039</v>
      </c>
    </row>
    <row r="74" spans="1:4" ht="12.75">
      <c r="A74" s="42" t="s">
        <v>1040</v>
      </c>
      <c r="B74" s="50">
        <v>4308</v>
      </c>
      <c r="C74" s="52" t="s">
        <v>907</v>
      </c>
      <c r="D74" s="48" t="s">
        <v>1041</v>
      </c>
    </row>
    <row r="75" spans="1:4" ht="12.75">
      <c r="A75" s="42" t="s">
        <v>1042</v>
      </c>
      <c r="B75" s="50">
        <v>4316</v>
      </c>
      <c r="C75" s="52" t="s">
        <v>907</v>
      </c>
      <c r="D75" s="48" t="s">
        <v>1043</v>
      </c>
    </row>
    <row r="76" spans="1:4" ht="12.75">
      <c r="A76" s="42" t="s">
        <v>1044</v>
      </c>
      <c r="B76" s="45">
        <v>4320</v>
      </c>
      <c r="C76" s="43" t="s">
        <v>907</v>
      </c>
      <c r="D76" s="44" t="s">
        <v>1045</v>
      </c>
    </row>
    <row r="77" spans="1:4" ht="12.75">
      <c r="A77" s="42" t="s">
        <v>1046</v>
      </c>
      <c r="B77" s="56">
        <v>4905</v>
      </c>
      <c r="C77" s="43" t="s">
        <v>1047</v>
      </c>
      <c r="D77" s="44" t="s">
        <v>1048</v>
      </c>
    </row>
    <row r="78" spans="1:4" ht="12.75">
      <c r="A78" s="42" t="s">
        <v>1049</v>
      </c>
      <c r="B78" s="56" t="s">
        <v>1049</v>
      </c>
      <c r="C78" s="43" t="s">
        <v>907</v>
      </c>
      <c r="D78" s="44" t="s">
        <v>1050</v>
      </c>
    </row>
    <row r="79" spans="1:4" ht="12.75">
      <c r="A79" s="42" t="s">
        <v>1051</v>
      </c>
      <c r="B79" s="43">
        <v>5902</v>
      </c>
      <c r="C79" s="52" t="s">
        <v>896</v>
      </c>
      <c r="D79" s="48" t="s">
        <v>1052</v>
      </c>
    </row>
    <row r="80" spans="1:4" ht="12.75">
      <c r="A80" s="42" t="s">
        <v>1053</v>
      </c>
      <c r="B80" s="43">
        <v>5903</v>
      </c>
      <c r="C80" s="52" t="s">
        <v>896</v>
      </c>
      <c r="D80" s="48" t="s">
        <v>1054</v>
      </c>
    </row>
    <row r="81" spans="1:4" ht="12.75">
      <c r="A81" s="57" t="s">
        <v>1055</v>
      </c>
      <c r="B81" s="58">
        <v>6014</v>
      </c>
      <c r="C81" s="58" t="s">
        <v>901</v>
      </c>
      <c r="D81" s="59" t="s">
        <v>1056</v>
      </c>
    </row>
    <row r="82" spans="1:4" ht="12.75">
      <c r="A82" s="56" t="s">
        <v>1057</v>
      </c>
      <c r="B82" s="56" t="s">
        <v>1057</v>
      </c>
      <c r="C82" s="43" t="s">
        <v>901</v>
      </c>
      <c r="D82" s="44" t="s">
        <v>1058</v>
      </c>
    </row>
    <row r="83" spans="1:4" ht="12.75">
      <c r="A83" s="42" t="s">
        <v>1057</v>
      </c>
      <c r="B83" s="56" t="s">
        <v>1057</v>
      </c>
      <c r="C83" s="43" t="s">
        <v>901</v>
      </c>
      <c r="D83" s="44" t="s">
        <v>1059</v>
      </c>
    </row>
    <row r="84" spans="1:4" ht="12.75">
      <c r="A84" s="42" t="s">
        <v>1060</v>
      </c>
      <c r="B84" s="50">
        <v>6304</v>
      </c>
      <c r="C84" s="43" t="s">
        <v>893</v>
      </c>
      <c r="D84" s="44" t="s">
        <v>1061</v>
      </c>
    </row>
    <row r="85" spans="1:4" ht="12.75">
      <c r="A85" s="42" t="s">
        <v>1062</v>
      </c>
      <c r="B85" s="50">
        <v>6702</v>
      </c>
      <c r="C85" s="43" t="s">
        <v>893</v>
      </c>
      <c r="D85" s="44" t="s">
        <v>1063</v>
      </c>
    </row>
    <row r="86" spans="1:4" ht="12.75">
      <c r="A86" s="42" t="s">
        <v>1064</v>
      </c>
      <c r="B86" s="50">
        <v>6703</v>
      </c>
      <c r="C86" s="43" t="s">
        <v>893</v>
      </c>
      <c r="D86" s="44" t="s">
        <v>1065</v>
      </c>
    </row>
    <row r="87" spans="1:4" ht="12.75">
      <c r="A87" s="42" t="s">
        <v>1066</v>
      </c>
      <c r="B87" s="50">
        <v>6704</v>
      </c>
      <c r="C87" s="43" t="s">
        <v>893</v>
      </c>
      <c r="D87" s="44" t="s">
        <v>1067</v>
      </c>
    </row>
    <row r="88" spans="1:4" ht="12.75">
      <c r="A88" s="42" t="s">
        <v>1068</v>
      </c>
      <c r="B88" s="43">
        <v>6803</v>
      </c>
      <c r="C88" s="43" t="s">
        <v>893</v>
      </c>
      <c r="D88" s="44" t="s">
        <v>1069</v>
      </c>
    </row>
    <row r="89" spans="1:4" ht="12.75">
      <c r="A89" s="42" t="s">
        <v>1070</v>
      </c>
      <c r="B89" s="56" t="s">
        <v>1070</v>
      </c>
      <c r="C89" s="43" t="s">
        <v>1071</v>
      </c>
      <c r="D89" s="44" t="s">
        <v>1072</v>
      </c>
    </row>
    <row r="90" spans="1:4" ht="12.75">
      <c r="A90" s="42" t="s">
        <v>1073</v>
      </c>
      <c r="B90" s="42" t="s">
        <v>1073</v>
      </c>
      <c r="C90" s="43" t="s">
        <v>1071</v>
      </c>
      <c r="D90" s="44" t="s">
        <v>1074</v>
      </c>
    </row>
    <row r="91" spans="1:4" ht="12.75">
      <c r="A91" s="42" t="s">
        <v>1075</v>
      </c>
      <c r="B91" s="42" t="s">
        <v>1075</v>
      </c>
      <c r="C91" s="52" t="s">
        <v>896</v>
      </c>
      <c r="D91" s="48" t="s">
        <v>1076</v>
      </c>
    </row>
    <row r="92" spans="1:4" ht="12.75">
      <c r="A92" s="42" t="s">
        <v>1077</v>
      </c>
      <c r="B92" s="42" t="s">
        <v>1077</v>
      </c>
      <c r="C92" s="43" t="s">
        <v>1071</v>
      </c>
      <c r="D92" s="44" t="s">
        <v>1078</v>
      </c>
    </row>
    <row r="93" spans="1:4" ht="12.75">
      <c r="A93" s="42" t="s">
        <v>1079</v>
      </c>
      <c r="B93" s="42" t="s">
        <v>1079</v>
      </c>
      <c r="C93" s="43" t="s">
        <v>904</v>
      </c>
      <c r="D93" s="44" t="s">
        <v>1080</v>
      </c>
    </row>
    <row r="94" spans="1:4" ht="12.75">
      <c r="A94" s="42" t="s">
        <v>1081</v>
      </c>
      <c r="B94" s="42" t="s">
        <v>1081</v>
      </c>
      <c r="C94" s="43" t="s">
        <v>1071</v>
      </c>
      <c r="D94" s="44" t="s">
        <v>1082</v>
      </c>
    </row>
    <row r="95" spans="1:4" ht="12.75">
      <c r="A95" s="42" t="s">
        <v>1083</v>
      </c>
      <c r="B95" s="42" t="s">
        <v>1083</v>
      </c>
      <c r="C95" s="43" t="s">
        <v>1071</v>
      </c>
      <c r="D95" s="44" t="s">
        <v>1084</v>
      </c>
    </row>
    <row r="96" spans="1:4" ht="12.75">
      <c r="A96" s="42" t="s">
        <v>1085</v>
      </c>
      <c r="B96" s="42" t="s">
        <v>1085</v>
      </c>
      <c r="C96" s="43" t="s">
        <v>1071</v>
      </c>
      <c r="D96" s="44" t="s">
        <v>1086</v>
      </c>
    </row>
    <row r="97" spans="1:4" ht="12.75">
      <c r="A97" s="42" t="s">
        <v>1087</v>
      </c>
      <c r="B97" s="42" t="s">
        <v>1087</v>
      </c>
      <c r="C97" s="43" t="s">
        <v>1071</v>
      </c>
      <c r="D97" s="44" t="s">
        <v>1088</v>
      </c>
    </row>
    <row r="98" spans="1:4" ht="12.75">
      <c r="A98" s="42" t="s">
        <v>1089</v>
      </c>
      <c r="B98" s="42" t="s">
        <v>1089</v>
      </c>
      <c r="C98" s="43" t="s">
        <v>1071</v>
      </c>
      <c r="D98" s="44" t="s">
        <v>1090</v>
      </c>
    </row>
    <row r="99" spans="1:4" ht="12.75">
      <c r="A99" s="42" t="s">
        <v>1091</v>
      </c>
      <c r="B99" s="60" t="s">
        <v>879</v>
      </c>
      <c r="C99" s="43" t="s">
        <v>1071</v>
      </c>
      <c r="D99" s="44" t="s">
        <v>1092</v>
      </c>
    </row>
    <row r="100" spans="1:4" ht="12.75">
      <c r="A100" s="42" t="s">
        <v>1093</v>
      </c>
      <c r="B100" s="42" t="s">
        <v>1093</v>
      </c>
      <c r="C100" s="43" t="s">
        <v>1047</v>
      </c>
      <c r="D100" s="44" t="s">
        <v>1094</v>
      </c>
    </row>
    <row r="101" spans="1:4" ht="12.75">
      <c r="A101" s="42" t="s">
        <v>1095</v>
      </c>
      <c r="B101" s="42" t="s">
        <v>1095</v>
      </c>
      <c r="C101" s="43" t="s">
        <v>1047</v>
      </c>
      <c r="D101" s="44" t="s">
        <v>1096</v>
      </c>
    </row>
    <row r="102" spans="1:4" ht="12.75">
      <c r="A102" s="42" t="s">
        <v>1097</v>
      </c>
      <c r="B102" s="50">
        <v>8008</v>
      </c>
      <c r="C102" s="52" t="s">
        <v>896</v>
      </c>
      <c r="D102" s="48" t="s">
        <v>1098</v>
      </c>
    </row>
    <row r="103" spans="1:4" ht="12.75">
      <c r="A103" s="42" t="s">
        <v>1099</v>
      </c>
      <c r="B103" s="50">
        <v>8012</v>
      </c>
      <c r="C103" s="43" t="s">
        <v>896</v>
      </c>
      <c r="D103" s="44" t="s">
        <v>1100</v>
      </c>
    </row>
    <row r="104" spans="1:4" ht="12.75">
      <c r="A104" s="42" t="s">
        <v>1101</v>
      </c>
      <c r="B104" s="50">
        <v>8401</v>
      </c>
      <c r="C104" s="43" t="s">
        <v>893</v>
      </c>
      <c r="D104" s="44" t="s">
        <v>1102</v>
      </c>
    </row>
    <row r="105" spans="1:4" ht="12.75">
      <c r="A105" s="42" t="s">
        <v>1103</v>
      </c>
      <c r="B105" s="50">
        <v>8402</v>
      </c>
      <c r="C105" s="43" t="s">
        <v>893</v>
      </c>
      <c r="D105" s="44" t="s">
        <v>1104</v>
      </c>
    </row>
    <row r="106" spans="1:4" ht="12.75">
      <c r="A106" s="42" t="s">
        <v>1105</v>
      </c>
      <c r="B106" s="50">
        <v>8403</v>
      </c>
      <c r="C106" s="43" t="s">
        <v>893</v>
      </c>
      <c r="D106" s="44" t="s">
        <v>1106</v>
      </c>
    </row>
    <row r="107" spans="1:4" ht="12.75">
      <c r="A107" s="42" t="s">
        <v>1107</v>
      </c>
      <c r="B107" s="46" t="s">
        <v>1107</v>
      </c>
      <c r="C107" s="43" t="s">
        <v>893</v>
      </c>
      <c r="D107" s="44" t="s">
        <v>1108</v>
      </c>
    </row>
    <row r="108" spans="1:4" ht="12.75">
      <c r="A108" s="42" t="s">
        <v>1109</v>
      </c>
      <c r="B108" s="42" t="s">
        <v>1109</v>
      </c>
      <c r="C108" s="43" t="s">
        <v>904</v>
      </c>
      <c r="D108" s="44" t="s">
        <v>1110</v>
      </c>
    </row>
    <row r="109" spans="1:4" ht="12.75">
      <c r="A109" s="42" t="s">
        <v>1111</v>
      </c>
      <c r="B109" s="50">
        <v>9104</v>
      </c>
      <c r="C109" s="43" t="s">
        <v>907</v>
      </c>
      <c r="D109" s="44" t="s">
        <v>1112</v>
      </c>
    </row>
    <row r="110" spans="1:4" ht="12.75">
      <c r="A110" s="42" t="s">
        <v>1113</v>
      </c>
      <c r="B110" s="42" t="s">
        <v>1113</v>
      </c>
      <c r="C110" s="43" t="s">
        <v>1047</v>
      </c>
      <c r="D110" s="44" t="s">
        <v>1114</v>
      </c>
    </row>
    <row r="111" spans="1:4" ht="12.75">
      <c r="A111" s="42" t="s">
        <v>1113</v>
      </c>
      <c r="B111" s="42" t="s">
        <v>1113</v>
      </c>
      <c r="C111" s="43" t="s">
        <v>1047</v>
      </c>
      <c r="D111" s="44" t="s">
        <v>1115</v>
      </c>
    </row>
    <row r="112" spans="1:4" ht="12.75">
      <c r="A112" s="42" t="s">
        <v>1113</v>
      </c>
      <c r="B112" s="42" t="s">
        <v>1113</v>
      </c>
      <c r="C112" s="43" t="s">
        <v>1047</v>
      </c>
      <c r="D112" s="44" t="s">
        <v>1116</v>
      </c>
    </row>
    <row r="113" spans="1:4" ht="12.75">
      <c r="A113" s="42" t="s">
        <v>1113</v>
      </c>
      <c r="B113" s="42" t="s">
        <v>1113</v>
      </c>
      <c r="C113" s="43" t="s">
        <v>1047</v>
      </c>
      <c r="D113" s="44" t="s">
        <v>1117</v>
      </c>
    </row>
    <row r="114" spans="1:4" ht="12.75">
      <c r="A114" s="42" t="s">
        <v>1113</v>
      </c>
      <c r="B114" s="42" t="s">
        <v>1113</v>
      </c>
      <c r="C114" s="43" t="s">
        <v>1047</v>
      </c>
      <c r="D114" s="44" t="s">
        <v>1118</v>
      </c>
    </row>
    <row r="115" spans="1:4" ht="12.75">
      <c r="A115" s="42" t="s">
        <v>1113</v>
      </c>
      <c r="B115" s="42" t="s">
        <v>1113</v>
      </c>
      <c r="C115" s="43" t="s">
        <v>1047</v>
      </c>
      <c r="D115" s="44" t="s">
        <v>1119</v>
      </c>
    </row>
    <row r="116" spans="1:4" ht="12.75">
      <c r="A116" s="42" t="s">
        <v>1120</v>
      </c>
      <c r="B116" s="56" t="s">
        <v>1120</v>
      </c>
      <c r="C116" s="43" t="s">
        <v>907</v>
      </c>
      <c r="D116" s="44" t="s">
        <v>1121</v>
      </c>
    </row>
    <row r="117" spans="1:4" ht="12.75">
      <c r="A117" s="42" t="s">
        <v>1120</v>
      </c>
      <c r="B117" s="42" t="s">
        <v>1120</v>
      </c>
      <c r="C117" s="43" t="s">
        <v>907</v>
      </c>
      <c r="D117" s="44" t="s">
        <v>1122</v>
      </c>
    </row>
    <row r="118" spans="1:4" ht="12.75">
      <c r="A118" s="42" t="s">
        <v>1120</v>
      </c>
      <c r="B118" s="42" t="s">
        <v>1120</v>
      </c>
      <c r="C118" s="43" t="s">
        <v>907</v>
      </c>
      <c r="D118" s="44" t="s">
        <v>1123</v>
      </c>
    </row>
    <row r="119" spans="1:4" ht="12.75">
      <c r="A119" s="42" t="s">
        <v>1124</v>
      </c>
      <c r="B119" s="54">
        <v>9504</v>
      </c>
      <c r="C119" s="43" t="s">
        <v>901</v>
      </c>
      <c r="D119" s="44" t="s">
        <v>1125</v>
      </c>
    </row>
    <row r="120" spans="1:4" ht="12.75">
      <c r="A120" s="42" t="s">
        <v>1126</v>
      </c>
      <c r="B120" s="56" t="s">
        <v>1126</v>
      </c>
      <c r="C120" s="43" t="s">
        <v>901</v>
      </c>
      <c r="D120" s="44" t="s">
        <v>1127</v>
      </c>
    </row>
    <row r="121" spans="1:4" ht="12.75">
      <c r="A121" s="42" t="s">
        <v>1128</v>
      </c>
      <c r="B121" s="42" t="s">
        <v>1128</v>
      </c>
      <c r="C121" s="43" t="s">
        <v>901</v>
      </c>
      <c r="D121" s="44" t="s">
        <v>1129</v>
      </c>
    </row>
    <row r="122" spans="1:4" ht="12.75">
      <c r="A122" s="42" t="s">
        <v>1130</v>
      </c>
      <c r="B122" s="42" t="s">
        <v>1130</v>
      </c>
      <c r="C122" s="43" t="s">
        <v>901</v>
      </c>
      <c r="D122" s="44" t="s">
        <v>1131</v>
      </c>
    </row>
    <row r="123" spans="1:4" ht="12.75">
      <c r="A123" s="56" t="s">
        <v>1132</v>
      </c>
      <c r="B123" s="56" t="s">
        <v>1132</v>
      </c>
      <c r="C123" s="43" t="s">
        <v>901</v>
      </c>
      <c r="D123" s="44" t="s">
        <v>1133</v>
      </c>
    </row>
    <row r="124" spans="1:4" ht="12.75">
      <c r="A124" s="42" t="s">
        <v>1134</v>
      </c>
      <c r="B124" s="42" t="s">
        <v>1134</v>
      </c>
      <c r="C124" s="43" t="s">
        <v>901</v>
      </c>
      <c r="D124" s="61" t="s">
        <v>1135</v>
      </c>
    </row>
    <row r="125" spans="1:4" ht="12.75">
      <c r="A125" s="42" t="s">
        <v>1136</v>
      </c>
      <c r="B125" s="42" t="s">
        <v>1136</v>
      </c>
      <c r="C125" s="43" t="s">
        <v>901</v>
      </c>
      <c r="D125" s="44" t="s">
        <v>1137</v>
      </c>
    </row>
    <row r="126" spans="1:4" ht="12.75">
      <c r="A126" s="42" t="s">
        <v>1138</v>
      </c>
      <c r="B126" s="42" t="s">
        <v>1138</v>
      </c>
      <c r="C126" s="43" t="s">
        <v>901</v>
      </c>
      <c r="D126" s="44" t="s">
        <v>1139</v>
      </c>
    </row>
    <row r="127" spans="1:4" ht="12.75">
      <c r="A127" s="42" t="s">
        <v>1138</v>
      </c>
      <c r="B127" s="42" t="s">
        <v>1138</v>
      </c>
      <c r="C127" s="43" t="s">
        <v>901</v>
      </c>
      <c r="D127" s="44" t="s">
        <v>1140</v>
      </c>
    </row>
    <row r="128" spans="1:4" ht="12.75">
      <c r="A128" s="42" t="s">
        <v>1138</v>
      </c>
      <c r="B128" s="42" t="s">
        <v>1138</v>
      </c>
      <c r="C128" s="43" t="s">
        <v>901</v>
      </c>
      <c r="D128" s="44" t="s">
        <v>1141</v>
      </c>
    </row>
    <row r="129" spans="1:4" ht="12.75">
      <c r="A129" s="42" t="s">
        <v>1138</v>
      </c>
      <c r="B129" s="43">
        <v>9517</v>
      </c>
      <c r="C129" s="43" t="s">
        <v>901</v>
      </c>
      <c r="D129" s="44" t="s">
        <v>1142</v>
      </c>
    </row>
    <row r="130" spans="1:4" ht="12.75">
      <c r="A130" s="42" t="s">
        <v>1143</v>
      </c>
      <c r="B130" s="56" t="s">
        <v>1143</v>
      </c>
      <c r="C130" s="43" t="s">
        <v>893</v>
      </c>
      <c r="D130" s="55" t="s">
        <v>1144</v>
      </c>
    </row>
    <row r="131" spans="1:4" ht="12.75">
      <c r="A131" s="42" t="s">
        <v>1145</v>
      </c>
      <c r="B131" s="42" t="s">
        <v>1145</v>
      </c>
      <c r="C131" s="43" t="s">
        <v>901</v>
      </c>
      <c r="D131" s="44" t="s">
        <v>1146</v>
      </c>
    </row>
    <row r="132" spans="1:4" ht="12.75">
      <c r="A132" s="42" t="s">
        <v>1147</v>
      </c>
      <c r="B132" s="42" t="s">
        <v>1147</v>
      </c>
      <c r="C132" s="43" t="s">
        <v>904</v>
      </c>
      <c r="D132" s="44" t="s">
        <v>1148</v>
      </c>
    </row>
    <row r="133" spans="1:4" ht="12.75">
      <c r="A133" s="42" t="s">
        <v>1149</v>
      </c>
      <c r="B133" s="54">
        <v>9528</v>
      </c>
      <c r="C133" s="43" t="s">
        <v>901</v>
      </c>
      <c r="D133" s="44" t="s">
        <v>1150</v>
      </c>
    </row>
    <row r="134" spans="1:4" ht="12.75">
      <c r="A134" s="42" t="s">
        <v>1151</v>
      </c>
      <c r="B134" s="42" t="s">
        <v>1151</v>
      </c>
      <c r="C134" s="43" t="s">
        <v>901</v>
      </c>
      <c r="D134" s="44" t="s">
        <v>1152</v>
      </c>
    </row>
    <row r="135" spans="1:4" ht="12.75">
      <c r="A135" s="42" t="s">
        <v>1153</v>
      </c>
      <c r="B135" s="42" t="s">
        <v>1153</v>
      </c>
      <c r="C135" s="43" t="s">
        <v>901</v>
      </c>
      <c r="D135" s="44" t="s">
        <v>1154</v>
      </c>
    </row>
    <row r="136" spans="1:4" ht="12.75">
      <c r="A136" s="42" t="s">
        <v>1155</v>
      </c>
      <c r="B136" s="42" t="s">
        <v>1155</v>
      </c>
      <c r="C136" s="43" t="s">
        <v>901</v>
      </c>
      <c r="D136" s="44" t="s">
        <v>1156</v>
      </c>
    </row>
    <row r="137" spans="1:4" ht="12.75">
      <c r="A137" s="42" t="s">
        <v>1157</v>
      </c>
      <c r="B137" s="60" t="s">
        <v>879</v>
      </c>
      <c r="C137" s="43" t="s">
        <v>901</v>
      </c>
      <c r="D137" s="44" t="s">
        <v>1158</v>
      </c>
    </row>
    <row r="138" spans="1:4" ht="12.75">
      <c r="A138" s="42" t="s">
        <v>1159</v>
      </c>
      <c r="B138" s="60" t="s">
        <v>879</v>
      </c>
      <c r="C138" s="43" t="s">
        <v>901</v>
      </c>
      <c r="D138" s="44" t="s">
        <v>1160</v>
      </c>
    </row>
    <row r="139" spans="1:4" ht="12.75">
      <c r="A139" s="42" t="s">
        <v>1161</v>
      </c>
      <c r="B139" s="60" t="s">
        <v>879</v>
      </c>
      <c r="C139" s="43" t="s">
        <v>901</v>
      </c>
      <c r="D139" s="44" t="s">
        <v>1162</v>
      </c>
    </row>
    <row r="140" spans="1:4" ht="12.75">
      <c r="A140" s="42" t="s">
        <v>1163</v>
      </c>
      <c r="B140" s="60" t="s">
        <v>879</v>
      </c>
      <c r="C140" s="43" t="s">
        <v>907</v>
      </c>
      <c r="D140" s="44" t="s">
        <v>1164</v>
      </c>
    </row>
    <row r="141" spans="1:4" ht="12.75">
      <c r="A141" s="42" t="s">
        <v>1165</v>
      </c>
      <c r="B141" s="60" t="s">
        <v>879</v>
      </c>
      <c r="C141" s="43" t="s">
        <v>893</v>
      </c>
      <c r="D141" s="44" t="s">
        <v>1166</v>
      </c>
    </row>
    <row r="142" spans="1:4" ht="12.75">
      <c r="A142" s="42" t="s">
        <v>1167</v>
      </c>
      <c r="B142" s="60" t="s">
        <v>879</v>
      </c>
      <c r="C142" s="43" t="s">
        <v>893</v>
      </c>
      <c r="D142" s="44" t="s">
        <v>1168</v>
      </c>
    </row>
    <row r="143" spans="1:4" ht="12.75">
      <c r="A143" s="42" t="s">
        <v>1169</v>
      </c>
      <c r="B143" s="60" t="s">
        <v>879</v>
      </c>
      <c r="C143" s="43" t="s">
        <v>896</v>
      </c>
      <c r="D143" s="44" t="s">
        <v>1170</v>
      </c>
    </row>
    <row r="144" spans="1:4" ht="12.75">
      <c r="A144" s="56" t="s">
        <v>1171</v>
      </c>
      <c r="B144" s="60" t="s">
        <v>879</v>
      </c>
      <c r="C144" s="43" t="s">
        <v>907</v>
      </c>
      <c r="D144" s="44" t="s">
        <v>1172</v>
      </c>
    </row>
    <row r="145" spans="1:4" ht="12.75">
      <c r="A145" s="62" t="s">
        <v>1173</v>
      </c>
      <c r="B145" s="63" t="s">
        <v>912</v>
      </c>
      <c r="C145" s="64" t="s">
        <v>901</v>
      </c>
      <c r="D145" s="65" t="s">
        <v>1174</v>
      </c>
    </row>
    <row r="146" spans="1:4" ht="12.75">
      <c r="A146" s="62" t="s">
        <v>1175</v>
      </c>
      <c r="B146" s="64">
        <v>2808</v>
      </c>
      <c r="C146" s="64" t="s">
        <v>896</v>
      </c>
      <c r="D146" s="65" t="s">
        <v>1176</v>
      </c>
    </row>
    <row r="147" spans="1:4" ht="12.75">
      <c r="A147" s="62" t="s">
        <v>1177</v>
      </c>
      <c r="B147" s="66">
        <v>2809</v>
      </c>
      <c r="C147" s="64" t="s">
        <v>1071</v>
      </c>
      <c r="D147" s="65" t="s">
        <v>1178</v>
      </c>
    </row>
    <row r="148" spans="1:4" ht="12.75">
      <c r="A148" s="62" t="s">
        <v>1179</v>
      </c>
      <c r="B148" s="66">
        <v>2813</v>
      </c>
      <c r="C148" s="64" t="s">
        <v>907</v>
      </c>
      <c r="D148" s="65" t="s">
        <v>1180</v>
      </c>
    </row>
    <row r="149" spans="1:4" ht="12.75">
      <c r="A149" s="62" t="s">
        <v>1181</v>
      </c>
      <c r="B149" s="64">
        <v>2815</v>
      </c>
      <c r="C149" s="64" t="s">
        <v>896</v>
      </c>
      <c r="D149" s="65" t="s">
        <v>1182</v>
      </c>
    </row>
    <row r="150" spans="1:4" ht="12.75">
      <c r="A150" s="62" t="s">
        <v>1183</v>
      </c>
      <c r="B150" s="64">
        <v>2827</v>
      </c>
      <c r="C150" s="64" t="s">
        <v>896</v>
      </c>
      <c r="D150" s="65" t="s">
        <v>1184</v>
      </c>
    </row>
    <row r="151" spans="1:4" ht="12.75">
      <c r="A151" s="62" t="s">
        <v>1185</v>
      </c>
      <c r="B151" s="66">
        <v>2904</v>
      </c>
      <c r="C151" s="64" t="s">
        <v>896</v>
      </c>
      <c r="D151" s="65" t="s">
        <v>1186</v>
      </c>
    </row>
    <row r="152" spans="1:4" ht="12.75">
      <c r="A152" s="62" t="s">
        <v>1187</v>
      </c>
      <c r="B152" s="66">
        <v>3104</v>
      </c>
      <c r="C152" s="64" t="s">
        <v>896</v>
      </c>
      <c r="D152" s="65" t="s">
        <v>1188</v>
      </c>
    </row>
    <row r="153" spans="1:4" ht="12.75">
      <c r="A153" s="62" t="s">
        <v>1189</v>
      </c>
      <c r="B153" s="66">
        <v>3140</v>
      </c>
      <c r="C153" s="64" t="s">
        <v>890</v>
      </c>
      <c r="D153" s="65" t="s">
        <v>1190</v>
      </c>
    </row>
    <row r="154" spans="1:4" ht="12.75">
      <c r="A154" s="62" t="s">
        <v>1191</v>
      </c>
      <c r="B154" s="66">
        <v>3601</v>
      </c>
      <c r="C154" s="64" t="s">
        <v>896</v>
      </c>
      <c r="D154" s="65" t="s">
        <v>1192</v>
      </c>
    </row>
    <row r="155" spans="1:4" ht="12.75">
      <c r="A155" s="62" t="s">
        <v>1193</v>
      </c>
      <c r="B155" s="64">
        <v>4300</v>
      </c>
      <c r="C155" s="64" t="s">
        <v>901</v>
      </c>
      <c r="D155" s="65" t="s">
        <v>1194</v>
      </c>
    </row>
    <row r="156" spans="1:4" ht="12.75">
      <c r="A156" s="62" t="s">
        <v>1195</v>
      </c>
      <c r="B156" s="64">
        <v>4315</v>
      </c>
      <c r="C156" s="64" t="s">
        <v>907</v>
      </c>
      <c r="D156" s="65" t="s">
        <v>1196</v>
      </c>
    </row>
    <row r="157" spans="1:4" ht="12.75">
      <c r="A157" s="62" t="s">
        <v>1197</v>
      </c>
      <c r="B157" s="64">
        <v>4318</v>
      </c>
      <c r="C157" s="64" t="s">
        <v>907</v>
      </c>
      <c r="D157" s="67" t="s">
        <v>1198</v>
      </c>
    </row>
    <row r="158" spans="1:4" ht="12.75">
      <c r="A158" s="62" t="s">
        <v>1199</v>
      </c>
      <c r="B158" s="64">
        <v>4319</v>
      </c>
      <c r="C158" s="64" t="s">
        <v>890</v>
      </c>
      <c r="D158" s="65" t="s">
        <v>1200</v>
      </c>
    </row>
    <row r="159" spans="1:4" ht="12.75">
      <c r="A159" s="62" t="s">
        <v>1201</v>
      </c>
      <c r="B159" s="62" t="s">
        <v>1201</v>
      </c>
      <c r="C159" s="64" t="s">
        <v>901</v>
      </c>
      <c r="D159" s="68" t="s">
        <v>1202</v>
      </c>
    </row>
    <row r="160" spans="1:4" ht="12.75">
      <c r="A160" s="62" t="s">
        <v>1203</v>
      </c>
      <c r="B160" s="66">
        <v>6026</v>
      </c>
      <c r="C160" s="64" t="s">
        <v>907</v>
      </c>
      <c r="D160" s="65" t="s">
        <v>1204</v>
      </c>
    </row>
    <row r="161" spans="1:4" ht="12.75">
      <c r="A161" s="62" t="s">
        <v>1205</v>
      </c>
      <c r="B161" s="66">
        <v>6033</v>
      </c>
      <c r="C161" s="64" t="s">
        <v>1206</v>
      </c>
      <c r="D161" s="65" t="s">
        <v>1207</v>
      </c>
    </row>
    <row r="162" spans="1:4" ht="12.75">
      <c r="A162" s="62" t="s">
        <v>1208</v>
      </c>
      <c r="B162" s="62" t="s">
        <v>1208</v>
      </c>
      <c r="C162" s="64" t="s">
        <v>901</v>
      </c>
      <c r="D162" s="65" t="s">
        <v>1209</v>
      </c>
    </row>
    <row r="163" spans="1:4" ht="12.75">
      <c r="A163" s="62" t="s">
        <v>1210</v>
      </c>
      <c r="B163" s="62" t="s">
        <v>1210</v>
      </c>
      <c r="C163" s="64" t="s">
        <v>896</v>
      </c>
      <c r="D163" s="65" t="s">
        <v>1211</v>
      </c>
    </row>
    <row r="164" spans="1:4" ht="12.75">
      <c r="A164" s="62" t="s">
        <v>1212</v>
      </c>
      <c r="B164" s="62" t="s">
        <v>1212</v>
      </c>
      <c r="C164" s="64" t="s">
        <v>1071</v>
      </c>
      <c r="D164" s="65" t="s">
        <v>1213</v>
      </c>
    </row>
    <row r="165" spans="1:4" ht="12.75">
      <c r="A165" s="62" t="s">
        <v>1214</v>
      </c>
      <c r="B165" s="62" t="s">
        <v>1214</v>
      </c>
      <c r="C165" s="64" t="s">
        <v>1071</v>
      </c>
      <c r="D165" s="65" t="s">
        <v>1215</v>
      </c>
    </row>
    <row r="166" spans="1:4" ht="12.75">
      <c r="A166" s="62" t="s">
        <v>1216</v>
      </c>
      <c r="B166" s="69">
        <v>9301</v>
      </c>
      <c r="C166" s="64" t="s">
        <v>904</v>
      </c>
      <c r="D166" s="68" t="s">
        <v>1217</v>
      </c>
    </row>
    <row r="167" spans="1:4" ht="12.75">
      <c r="A167" s="62" t="s">
        <v>1218</v>
      </c>
      <c r="B167" s="66">
        <v>9517</v>
      </c>
      <c r="C167" s="64" t="s">
        <v>901</v>
      </c>
      <c r="D167" s="65" t="s">
        <v>1219</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219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5"/>
    </row>
    <row r="21" spans="1:3" ht="12.75">
      <c r="A21" s="5" t="s">
        <v>424</v>
      </c>
      <c r="B21" s="87" t="s">
        <v>879</v>
      </c>
      <c r="C21" s="5"/>
    </row>
    <row r="22" spans="1:3" ht="12.75">
      <c r="A22" s="5" t="s">
        <v>439</v>
      </c>
      <c r="B22" s="87" t="s">
        <v>879</v>
      </c>
      <c r="C22" s="5"/>
    </row>
    <row r="23" spans="1:3" ht="12.75">
      <c r="A23" s="5" t="s">
        <v>440</v>
      </c>
      <c r="B23" s="87" t="s">
        <v>879</v>
      </c>
      <c r="C23" s="23"/>
    </row>
    <row r="24" spans="1:3" ht="12.75">
      <c r="A24" s="5" t="s">
        <v>441</v>
      </c>
      <c r="B24" s="87" t="s">
        <v>879</v>
      </c>
      <c r="C24" s="5"/>
    </row>
    <row r="25" spans="1:3" ht="12.75">
      <c r="A25" s="5" t="s">
        <v>442</v>
      </c>
      <c r="B25" s="87" t="s">
        <v>879</v>
      </c>
      <c r="C25" s="5"/>
    </row>
    <row r="26" spans="1:3" ht="12.75">
      <c r="A26" s="5" t="s">
        <v>443</v>
      </c>
      <c r="B26" s="87" t="s">
        <v>879</v>
      </c>
      <c r="C26" s="23"/>
    </row>
    <row r="27" spans="1:3" ht="12.75">
      <c r="A27" s="5" t="s">
        <v>444</v>
      </c>
      <c r="B27" s="87" t="s">
        <v>879</v>
      </c>
      <c r="C27" s="5"/>
    </row>
    <row r="28" spans="1:3" ht="12.75">
      <c r="A28" s="5" t="s">
        <v>445</v>
      </c>
      <c r="B28" s="87" t="s">
        <v>879</v>
      </c>
      <c r="C28" s="23"/>
    </row>
    <row r="29" spans="1:3" ht="12.75">
      <c r="A29" s="5" t="s">
        <v>446</v>
      </c>
      <c r="B29" s="87" t="s">
        <v>879</v>
      </c>
      <c r="C29" s="23"/>
    </row>
    <row r="30" spans="1:3" ht="12.75">
      <c r="A30" s="5" t="s">
        <v>447</v>
      </c>
      <c r="B30" s="87" t="s">
        <v>879</v>
      </c>
      <c r="C30" s="6"/>
    </row>
    <row r="31" spans="1:3" ht="12.75">
      <c r="A31" s="5" t="s">
        <v>119</v>
      </c>
      <c r="B31" s="87" t="s">
        <v>879</v>
      </c>
      <c r="C31" s="5"/>
    </row>
    <row r="32" spans="1:3" ht="12.75">
      <c r="A32" s="5" t="s">
        <v>448</v>
      </c>
      <c r="B32" s="87" t="s">
        <v>879</v>
      </c>
      <c r="C32" s="5"/>
    </row>
    <row r="33" spans="1:3" ht="12.75">
      <c r="A33" s="5" t="s">
        <v>382</v>
      </c>
      <c r="B33" s="87" t="s">
        <v>879</v>
      </c>
      <c r="C33" s="23"/>
    </row>
    <row r="34" spans="1:3" ht="12.75">
      <c r="A34" s="5" t="s">
        <v>449</v>
      </c>
      <c r="B34" s="87" t="s">
        <v>879</v>
      </c>
      <c r="C34" s="23"/>
    </row>
    <row r="35" spans="1:3" ht="12.75">
      <c r="A35" s="5" t="s">
        <v>450</v>
      </c>
      <c r="B35" s="87" t="s">
        <v>879</v>
      </c>
      <c r="C35" s="23"/>
    </row>
    <row r="36" spans="1:3" ht="12.75">
      <c r="A36" s="5" t="s">
        <v>451</v>
      </c>
      <c r="B36" s="87" t="s">
        <v>879</v>
      </c>
      <c r="C36" s="5"/>
    </row>
    <row r="37" spans="1:3" ht="12.75">
      <c r="A37" s="5" t="s">
        <v>452</v>
      </c>
      <c r="B37" s="87" t="s">
        <v>879</v>
      </c>
      <c r="C37" s="23"/>
    </row>
    <row r="38" spans="1:3" ht="12.75">
      <c r="A38" s="5" t="s">
        <v>453</v>
      </c>
      <c r="B38" s="87" t="s">
        <v>879</v>
      </c>
      <c r="C38" s="5"/>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7">
    <dataValidation allowBlank="1" showInputMessage="1" showErrorMessage="1" sqref="B14:B38 B3"/>
    <dataValidation type="list" allowBlank="1" showInputMessage="1" showErrorMessage="1" sqref="B40:B45">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220</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5"/>
    </row>
    <row r="21" spans="1:3" ht="12.75">
      <c r="A21" s="5" t="s">
        <v>424</v>
      </c>
      <c r="B21" s="87" t="s">
        <v>879</v>
      </c>
      <c r="C21" s="5"/>
    </row>
    <row r="22" spans="1:3" ht="12.75">
      <c r="A22" s="5" t="s">
        <v>439</v>
      </c>
      <c r="B22" s="87" t="s">
        <v>879</v>
      </c>
      <c r="C22" s="5"/>
    </row>
    <row r="23" spans="1:3" ht="12.75">
      <c r="A23" s="5" t="s">
        <v>440</v>
      </c>
      <c r="B23" s="87" t="s">
        <v>879</v>
      </c>
      <c r="C23" s="23"/>
    </row>
    <row r="24" spans="1:3" ht="12.75">
      <c r="A24" s="5" t="s">
        <v>441</v>
      </c>
      <c r="B24" s="87" t="s">
        <v>879</v>
      </c>
      <c r="C24" s="5"/>
    </row>
    <row r="25" spans="1:3" ht="12.75">
      <c r="A25" s="5" t="s">
        <v>442</v>
      </c>
      <c r="B25" s="87" t="s">
        <v>879</v>
      </c>
      <c r="C25" s="5"/>
    </row>
    <row r="26" spans="1:3" ht="12.75">
      <c r="A26" s="5" t="s">
        <v>443</v>
      </c>
      <c r="B26" s="87" t="s">
        <v>879</v>
      </c>
      <c r="C26" s="23"/>
    </row>
    <row r="27" spans="1:3" ht="12.75">
      <c r="A27" s="5" t="s">
        <v>444</v>
      </c>
      <c r="B27" s="87" t="s">
        <v>879</v>
      </c>
      <c r="C27" s="5"/>
    </row>
    <row r="28" spans="1:3" ht="12.75">
      <c r="A28" s="5" t="s">
        <v>445</v>
      </c>
      <c r="B28" s="87" t="s">
        <v>879</v>
      </c>
      <c r="C28" s="23"/>
    </row>
    <row r="29" spans="1:3" ht="12.75">
      <c r="A29" s="5" t="s">
        <v>446</v>
      </c>
      <c r="B29" s="87" t="s">
        <v>879</v>
      </c>
      <c r="C29" s="23"/>
    </row>
    <row r="30" spans="1:3" ht="12.75">
      <c r="A30" s="5" t="s">
        <v>447</v>
      </c>
      <c r="B30" s="87" t="s">
        <v>879</v>
      </c>
      <c r="C30" s="6"/>
    </row>
    <row r="31" spans="1:3" ht="12.75">
      <c r="A31" s="5" t="s">
        <v>119</v>
      </c>
      <c r="B31" s="87" t="s">
        <v>879</v>
      </c>
      <c r="C31" s="5"/>
    </row>
    <row r="32" spans="1:3" ht="12.75">
      <c r="A32" s="5" t="s">
        <v>448</v>
      </c>
      <c r="B32" s="87" t="s">
        <v>879</v>
      </c>
      <c r="C32" s="5"/>
    </row>
    <row r="33" spans="1:3" ht="12.75">
      <c r="A33" s="5" t="s">
        <v>382</v>
      </c>
      <c r="B33" s="87" t="s">
        <v>879</v>
      </c>
      <c r="C33" s="23"/>
    </row>
    <row r="34" spans="1:3" ht="12.75">
      <c r="A34" s="5" t="s">
        <v>449</v>
      </c>
      <c r="B34" s="87" t="s">
        <v>879</v>
      </c>
      <c r="C34" s="23"/>
    </row>
    <row r="35" spans="1:3" ht="12.75">
      <c r="A35" s="5" t="s">
        <v>450</v>
      </c>
      <c r="B35" s="87" t="s">
        <v>879</v>
      </c>
      <c r="C35" s="23"/>
    </row>
    <row r="36" spans="1:3" ht="12.75">
      <c r="A36" s="5" t="s">
        <v>451</v>
      </c>
      <c r="B36" s="87" t="s">
        <v>879</v>
      </c>
      <c r="C36" s="5"/>
    </row>
    <row r="37" spans="1:3" ht="12.75">
      <c r="A37" s="5" t="s">
        <v>452</v>
      </c>
      <c r="B37" s="87" t="s">
        <v>879</v>
      </c>
      <c r="C37" s="23"/>
    </row>
    <row r="38" spans="1:3" ht="12.75">
      <c r="A38" s="5" t="s">
        <v>453</v>
      </c>
      <c r="B38" s="87" t="s">
        <v>879</v>
      </c>
      <c r="C38" s="5"/>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7">
    <dataValidation allowBlank="1" showInputMessage="1" showErrorMessage="1" sqref="B14:B38 B3"/>
    <dataValidation type="list" allowBlank="1" showInputMessage="1" showErrorMessage="1" sqref="B40:B45">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221</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5"/>
    </row>
    <row r="21" spans="1:3" ht="12.75">
      <c r="A21" s="5" t="s">
        <v>424</v>
      </c>
      <c r="B21" s="87" t="s">
        <v>879</v>
      </c>
      <c r="C21" s="5"/>
    </row>
    <row r="22" spans="1:3" ht="12.75">
      <c r="A22" s="5" t="s">
        <v>439</v>
      </c>
      <c r="B22" s="87" t="s">
        <v>879</v>
      </c>
      <c r="C22" s="5"/>
    </row>
    <row r="23" spans="1:3" ht="12.75">
      <c r="A23" s="5" t="s">
        <v>440</v>
      </c>
      <c r="B23" s="87" t="s">
        <v>879</v>
      </c>
      <c r="C23" s="23"/>
    </row>
    <row r="24" spans="1:3" ht="12.75">
      <c r="A24" s="5" t="s">
        <v>441</v>
      </c>
      <c r="B24" s="87" t="s">
        <v>879</v>
      </c>
      <c r="C24" s="5"/>
    </row>
    <row r="25" spans="1:3" ht="12.75">
      <c r="A25" s="5" t="s">
        <v>442</v>
      </c>
      <c r="B25" s="87" t="s">
        <v>879</v>
      </c>
      <c r="C25" s="5"/>
    </row>
    <row r="26" spans="1:3" ht="12.75">
      <c r="A26" s="5" t="s">
        <v>443</v>
      </c>
      <c r="B26" s="87" t="s">
        <v>879</v>
      </c>
      <c r="C26" s="23"/>
    </row>
    <row r="27" spans="1:3" ht="12.75">
      <c r="A27" s="5" t="s">
        <v>444</v>
      </c>
      <c r="B27" s="87" t="s">
        <v>879</v>
      </c>
      <c r="C27" s="5"/>
    </row>
    <row r="28" spans="1:3" ht="12.75">
      <c r="A28" s="5" t="s">
        <v>445</v>
      </c>
      <c r="B28" s="87" t="s">
        <v>879</v>
      </c>
      <c r="C28" s="23"/>
    </row>
    <row r="29" spans="1:3" ht="12.75">
      <c r="A29" s="5" t="s">
        <v>446</v>
      </c>
      <c r="B29" s="87" t="s">
        <v>879</v>
      </c>
      <c r="C29" s="23"/>
    </row>
    <row r="30" spans="1:3" ht="12.75">
      <c r="A30" s="5" t="s">
        <v>447</v>
      </c>
      <c r="B30" s="87" t="s">
        <v>879</v>
      </c>
      <c r="C30" s="6"/>
    </row>
    <row r="31" spans="1:3" ht="12.75">
      <c r="A31" s="5" t="s">
        <v>119</v>
      </c>
      <c r="B31" s="87" t="s">
        <v>879</v>
      </c>
      <c r="C31" s="5"/>
    </row>
    <row r="32" spans="1:3" ht="12.75">
      <c r="A32" s="5" t="s">
        <v>448</v>
      </c>
      <c r="B32" s="87" t="s">
        <v>879</v>
      </c>
      <c r="C32" s="5"/>
    </row>
    <row r="33" spans="1:3" ht="12.75">
      <c r="A33" s="5" t="s">
        <v>382</v>
      </c>
      <c r="B33" s="87" t="s">
        <v>879</v>
      </c>
      <c r="C33" s="23"/>
    </row>
    <row r="34" spans="1:3" ht="12.75">
      <c r="A34" s="5" t="s">
        <v>449</v>
      </c>
      <c r="B34" s="87" t="s">
        <v>879</v>
      </c>
      <c r="C34" s="23"/>
    </row>
    <row r="35" spans="1:3" ht="12.75">
      <c r="A35" s="5" t="s">
        <v>450</v>
      </c>
      <c r="B35" s="87" t="s">
        <v>879</v>
      </c>
      <c r="C35" s="23"/>
    </row>
    <row r="36" spans="1:3" ht="12.75">
      <c r="A36" s="5" t="s">
        <v>451</v>
      </c>
      <c r="B36" s="87" t="s">
        <v>879</v>
      </c>
      <c r="C36" s="5"/>
    </row>
    <row r="37" spans="1:3" ht="12.75">
      <c r="A37" s="5" t="s">
        <v>452</v>
      </c>
      <c r="B37" s="87" t="s">
        <v>879</v>
      </c>
      <c r="C37" s="23"/>
    </row>
    <row r="38" spans="1:3" ht="12.75">
      <c r="A38" s="5" t="s">
        <v>453</v>
      </c>
      <c r="B38" s="87" t="s">
        <v>879</v>
      </c>
      <c r="C38" s="5"/>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7">
    <dataValidation allowBlank="1" showInputMessage="1" showErrorMessage="1" sqref="B14:B38 B3"/>
    <dataValidation type="list" allowBlank="1" showInputMessage="1" showErrorMessage="1" sqref="B40:B45">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225</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23"/>
    </row>
    <row r="21" spans="1:3" ht="12.75">
      <c r="A21" s="5" t="s">
        <v>424</v>
      </c>
      <c r="B21" s="87" t="s">
        <v>879</v>
      </c>
      <c r="C21" s="5"/>
    </row>
    <row r="22" spans="1:3" ht="12.75">
      <c r="A22" s="5" t="s">
        <v>439</v>
      </c>
      <c r="B22" s="87" t="s">
        <v>879</v>
      </c>
      <c r="C22" s="5"/>
    </row>
    <row r="23" spans="1:3" ht="12.75">
      <c r="A23" s="5" t="s">
        <v>440</v>
      </c>
      <c r="B23" s="87" t="s">
        <v>879</v>
      </c>
      <c r="C23" s="5"/>
    </row>
    <row r="24" spans="1:3" ht="12.75">
      <c r="A24" s="5" t="s">
        <v>441</v>
      </c>
      <c r="B24" s="87" t="s">
        <v>879</v>
      </c>
      <c r="C24" s="5"/>
    </row>
    <row r="25" spans="1:3" ht="12.75">
      <c r="A25" s="5" t="s">
        <v>442</v>
      </c>
      <c r="B25" s="87" t="s">
        <v>879</v>
      </c>
      <c r="C25" s="5"/>
    </row>
    <row r="26" spans="1:3" ht="12.75">
      <c r="A26" s="5" t="s">
        <v>443</v>
      </c>
      <c r="B26" s="87" t="s">
        <v>879</v>
      </c>
      <c r="C26" s="5"/>
    </row>
    <row r="27" spans="1:3" ht="12.75">
      <c r="A27" s="5" t="s">
        <v>444</v>
      </c>
      <c r="B27" s="87" t="s">
        <v>879</v>
      </c>
      <c r="C27" s="23"/>
    </row>
    <row r="28" spans="1:3" ht="12.75">
      <c r="A28" s="5" t="s">
        <v>445</v>
      </c>
      <c r="B28" s="87" t="s">
        <v>879</v>
      </c>
      <c r="C28" s="5"/>
    </row>
    <row r="29" spans="1:3" ht="12.75">
      <c r="A29" s="5" t="s">
        <v>446</v>
      </c>
      <c r="B29" s="87" t="s">
        <v>879</v>
      </c>
      <c r="C29" s="23"/>
    </row>
    <row r="30" spans="1:3" ht="12.75">
      <c r="A30" s="5" t="s">
        <v>447</v>
      </c>
      <c r="B30" s="87" t="s">
        <v>879</v>
      </c>
      <c r="C30" s="23"/>
    </row>
    <row r="31" spans="1:3" ht="12.75">
      <c r="A31" s="5" t="s">
        <v>119</v>
      </c>
      <c r="B31" s="87" t="s">
        <v>879</v>
      </c>
      <c r="C31" s="6"/>
    </row>
    <row r="32" spans="1:3" ht="12.75">
      <c r="A32" s="5" t="s">
        <v>448</v>
      </c>
      <c r="B32" s="87" t="s">
        <v>879</v>
      </c>
      <c r="C32" s="5"/>
    </row>
    <row r="33" spans="1:3" ht="12.75">
      <c r="A33" s="5" t="s">
        <v>382</v>
      </c>
      <c r="B33" s="87" t="s">
        <v>879</v>
      </c>
      <c r="C33" s="5"/>
    </row>
    <row r="34" spans="1:3" ht="12.75">
      <c r="A34" s="5" t="s">
        <v>449</v>
      </c>
      <c r="B34" s="87" t="s">
        <v>879</v>
      </c>
      <c r="C34" s="23"/>
    </row>
    <row r="35" spans="1:3" ht="12.75">
      <c r="A35" s="5" t="s">
        <v>450</v>
      </c>
      <c r="B35" s="87" t="s">
        <v>879</v>
      </c>
      <c r="C35" s="23"/>
    </row>
    <row r="36" spans="1:3" ht="12.75">
      <c r="A36" s="5" t="s">
        <v>451</v>
      </c>
      <c r="B36" s="87" t="s">
        <v>879</v>
      </c>
      <c r="C36" s="23"/>
    </row>
    <row r="37" spans="1:3" ht="12.75">
      <c r="A37" s="5" t="s">
        <v>452</v>
      </c>
      <c r="B37" s="87" t="s">
        <v>879</v>
      </c>
      <c r="C37" s="5"/>
    </row>
    <row r="38" spans="1:3" ht="12.75">
      <c r="A38" s="5" t="s">
        <v>453</v>
      </c>
      <c r="B38" s="87" t="s">
        <v>879</v>
      </c>
      <c r="C38" s="23"/>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7">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14:B39 B3"/>
    <dataValidation type="list" allowBlank="1" showInputMessage="1" showErrorMessage="1" sqref="B40:B45">
      <formula1>YES_NO</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226</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23"/>
    </row>
    <row r="21" spans="1:3" ht="12.75">
      <c r="A21" s="5" t="s">
        <v>424</v>
      </c>
      <c r="B21" s="87" t="s">
        <v>879</v>
      </c>
      <c r="C21" s="5"/>
    </row>
    <row r="22" spans="1:3" ht="12.75">
      <c r="A22" s="5" t="s">
        <v>439</v>
      </c>
      <c r="B22" s="87" t="s">
        <v>879</v>
      </c>
      <c r="C22" s="5"/>
    </row>
    <row r="23" spans="1:3" ht="12.75">
      <c r="A23" s="5" t="s">
        <v>440</v>
      </c>
      <c r="B23" s="87" t="s">
        <v>879</v>
      </c>
      <c r="C23" s="5"/>
    </row>
    <row r="24" spans="1:3" ht="12.75">
      <c r="A24" s="5" t="s">
        <v>441</v>
      </c>
      <c r="B24" s="87" t="s">
        <v>879</v>
      </c>
      <c r="C24" s="5"/>
    </row>
    <row r="25" spans="1:3" ht="12.75">
      <c r="A25" s="5" t="s">
        <v>442</v>
      </c>
      <c r="B25" s="87" t="s">
        <v>879</v>
      </c>
      <c r="C25" s="5"/>
    </row>
    <row r="26" spans="1:3" ht="12.75">
      <c r="A26" s="5" t="s">
        <v>443</v>
      </c>
      <c r="B26" s="87" t="s">
        <v>879</v>
      </c>
      <c r="C26" s="5"/>
    </row>
    <row r="27" spans="1:3" ht="12.75">
      <c r="A27" s="5" t="s">
        <v>444</v>
      </c>
      <c r="B27" s="87" t="s">
        <v>879</v>
      </c>
      <c r="C27" s="23"/>
    </row>
    <row r="28" spans="1:3" ht="12.75">
      <c r="A28" s="5" t="s">
        <v>445</v>
      </c>
      <c r="B28" s="87" t="s">
        <v>879</v>
      </c>
      <c r="C28" s="5"/>
    </row>
    <row r="29" spans="1:3" ht="12.75">
      <c r="A29" s="5" t="s">
        <v>446</v>
      </c>
      <c r="B29" s="87" t="s">
        <v>879</v>
      </c>
      <c r="C29" s="23"/>
    </row>
    <row r="30" spans="1:3" ht="12.75">
      <c r="A30" s="5" t="s">
        <v>447</v>
      </c>
      <c r="B30" s="87" t="s">
        <v>879</v>
      </c>
      <c r="C30" s="23"/>
    </row>
    <row r="31" spans="1:3" ht="12.75">
      <c r="A31" s="5" t="s">
        <v>119</v>
      </c>
      <c r="B31" s="87" t="s">
        <v>879</v>
      </c>
      <c r="C31" s="6"/>
    </row>
    <row r="32" spans="1:3" ht="12.75">
      <c r="A32" s="5" t="s">
        <v>448</v>
      </c>
      <c r="B32" s="87" t="s">
        <v>879</v>
      </c>
      <c r="C32" s="5"/>
    </row>
    <row r="33" spans="1:3" ht="12.75">
      <c r="A33" s="5" t="s">
        <v>382</v>
      </c>
      <c r="B33" s="87" t="s">
        <v>879</v>
      </c>
      <c r="C33" s="5"/>
    </row>
    <row r="34" spans="1:3" ht="12.75">
      <c r="A34" s="5" t="s">
        <v>449</v>
      </c>
      <c r="B34" s="87" t="s">
        <v>879</v>
      </c>
      <c r="C34" s="23"/>
    </row>
    <row r="35" spans="1:3" ht="12.75">
      <c r="A35" s="5" t="s">
        <v>450</v>
      </c>
      <c r="B35" s="87" t="s">
        <v>879</v>
      </c>
      <c r="C35" s="23"/>
    </row>
    <row r="36" spans="1:3" ht="12.75">
      <c r="A36" s="5" t="s">
        <v>451</v>
      </c>
      <c r="B36" s="87" t="s">
        <v>879</v>
      </c>
      <c r="C36" s="23"/>
    </row>
    <row r="37" spans="1:3" ht="12.75">
      <c r="A37" s="5" t="s">
        <v>452</v>
      </c>
      <c r="B37" s="87" t="s">
        <v>879</v>
      </c>
      <c r="C37" s="5"/>
    </row>
    <row r="38" spans="1:3" ht="12.75">
      <c r="A38" s="5" t="s">
        <v>453</v>
      </c>
      <c r="B38" s="87" t="s">
        <v>879</v>
      </c>
      <c r="C38" s="23"/>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7">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14:B38 B3"/>
    <dataValidation type="list" allowBlank="1" showInputMessage="1" showErrorMessage="1" sqref="B40:B45">
      <formula1>YES_NO</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E55"/>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238</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514</v>
      </c>
      <c r="B20" s="87" t="s">
        <v>879</v>
      </c>
      <c r="C20" s="23"/>
    </row>
    <row r="21" spans="1:3" ht="12.75">
      <c r="A21" s="5" t="s">
        <v>516</v>
      </c>
      <c r="B21" s="87" t="s">
        <v>879</v>
      </c>
      <c r="C21" s="5"/>
    </row>
    <row r="22" spans="1:3" ht="12.75">
      <c r="A22" s="5" t="s">
        <v>517</v>
      </c>
      <c r="B22" s="87" t="s">
        <v>879</v>
      </c>
      <c r="C22" s="5"/>
    </row>
    <row r="23" spans="1:3" ht="12.75">
      <c r="A23" s="5" t="s">
        <v>518</v>
      </c>
      <c r="B23" s="87" t="s">
        <v>879</v>
      </c>
      <c r="C23" s="5"/>
    </row>
    <row r="24" spans="1:3" ht="12.75">
      <c r="A24" s="5" t="s">
        <v>519</v>
      </c>
      <c r="B24" s="87" t="s">
        <v>879</v>
      </c>
      <c r="C24" s="5"/>
    </row>
    <row r="25" spans="1:3" ht="12.75">
      <c r="A25" s="5" t="s">
        <v>520</v>
      </c>
      <c r="B25" s="87" t="s">
        <v>879</v>
      </c>
      <c r="C25" s="5"/>
    </row>
    <row r="26" spans="1:3" ht="12.75">
      <c r="A26" s="19" t="s">
        <v>521</v>
      </c>
      <c r="B26" s="87" t="s">
        <v>879</v>
      </c>
      <c r="C26" s="23"/>
    </row>
    <row r="27" spans="1:3" ht="12.75">
      <c r="A27" s="5" t="s">
        <v>119</v>
      </c>
      <c r="B27" s="87" t="s">
        <v>879</v>
      </c>
      <c r="C27" s="5"/>
    </row>
    <row r="28" spans="1:3" ht="12.75">
      <c r="A28" s="5" t="s">
        <v>522</v>
      </c>
      <c r="B28" s="87" t="s">
        <v>879</v>
      </c>
      <c r="C28" s="5"/>
    </row>
    <row r="29" spans="1:3" ht="12.75">
      <c r="A29" s="5" t="s">
        <v>515</v>
      </c>
      <c r="B29" s="87" t="s">
        <v>879</v>
      </c>
      <c r="C29" s="5"/>
    </row>
    <row r="30" spans="1:3" ht="12.75">
      <c r="A30" s="5" t="s">
        <v>523</v>
      </c>
      <c r="B30" s="87" t="s">
        <v>879</v>
      </c>
      <c r="C30" s="5"/>
    </row>
    <row r="31" spans="1:3" ht="12.75">
      <c r="A31" s="5" t="s">
        <v>524</v>
      </c>
      <c r="B31" s="87" t="s">
        <v>879</v>
      </c>
      <c r="C31" s="5"/>
    </row>
    <row r="32" spans="1:3" ht="12.75">
      <c r="A32" s="5" t="s">
        <v>525</v>
      </c>
      <c r="B32" s="87" t="s">
        <v>879</v>
      </c>
      <c r="C32" s="5"/>
    </row>
    <row r="33" spans="1:3" ht="12.75">
      <c r="A33" s="19" t="s">
        <v>526</v>
      </c>
      <c r="B33" s="87" t="s">
        <v>879</v>
      </c>
      <c r="C33" s="23"/>
    </row>
    <row r="34" spans="1:3" ht="12.75">
      <c r="A34" s="5" t="s">
        <v>527</v>
      </c>
      <c r="B34" s="87" t="s">
        <v>879</v>
      </c>
      <c r="C34" s="5"/>
    </row>
    <row r="35" spans="1:3" ht="12.75">
      <c r="A35" s="5" t="s">
        <v>528</v>
      </c>
      <c r="B35" s="87" t="s">
        <v>879</v>
      </c>
      <c r="C35" s="5"/>
    </row>
    <row r="37" spans="1:3" ht="25.5">
      <c r="A37" s="76" t="s">
        <v>1252</v>
      </c>
      <c r="B37" s="74"/>
      <c r="C37" s="23" t="s">
        <v>510</v>
      </c>
    </row>
    <row r="38" spans="1:3" ht="25.5">
      <c r="A38" s="76" t="s">
        <v>1253</v>
      </c>
      <c r="B38" s="74"/>
      <c r="C38" s="23" t="s">
        <v>510</v>
      </c>
    </row>
    <row r="39" spans="1:3" ht="12.75">
      <c r="A39" s="76" t="s">
        <v>1254</v>
      </c>
      <c r="B39" s="74"/>
      <c r="C39" s="23" t="s">
        <v>510</v>
      </c>
    </row>
    <row r="40" spans="1:3" ht="38.25">
      <c r="A40" s="76" t="s">
        <v>1255</v>
      </c>
      <c r="B40" s="74"/>
      <c r="C40" s="23" t="s">
        <v>510</v>
      </c>
    </row>
    <row r="41" spans="1:3" ht="51">
      <c r="A41" s="76" t="s">
        <v>1256</v>
      </c>
      <c r="B41" s="74"/>
      <c r="C41" s="23" t="s">
        <v>510</v>
      </c>
    </row>
    <row r="42" spans="1:3" ht="51">
      <c r="A42" s="76" t="s">
        <v>1257</v>
      </c>
      <c r="B42" s="74"/>
      <c r="C42" s="23" t="s">
        <v>510</v>
      </c>
    </row>
    <row r="43" spans="1:3" ht="25.5">
      <c r="A43" s="76" t="s">
        <v>1258</v>
      </c>
      <c r="B43" s="74"/>
      <c r="C43" s="23"/>
    </row>
    <row r="45" spans="1:3" ht="12.75">
      <c r="A45" s="120" t="s">
        <v>154</v>
      </c>
      <c r="B45" s="120"/>
      <c r="C45" s="120"/>
    </row>
    <row r="46" spans="1:3" ht="12.75">
      <c r="A46" s="121"/>
      <c r="B46" s="122"/>
      <c r="C46" s="123"/>
    </row>
    <row r="47" spans="1:3" ht="12.75">
      <c r="A47" s="124"/>
      <c r="B47" s="125"/>
      <c r="C47" s="126"/>
    </row>
    <row r="48" spans="1:3" ht="12.75">
      <c r="A48" s="124"/>
      <c r="B48" s="125"/>
      <c r="C48" s="126"/>
    </row>
    <row r="49" spans="1:3" ht="12.75">
      <c r="A49" s="124"/>
      <c r="B49" s="125"/>
      <c r="C49" s="126"/>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7"/>
      <c r="B55" s="128"/>
      <c r="C55" s="129"/>
    </row>
  </sheetData>
  <mergeCells count="2">
    <mergeCell ref="A45:C45"/>
    <mergeCell ref="A46:C55"/>
  </mergeCells>
  <dataValidations count="7">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14:B35 B3"/>
    <dataValidation type="list" allowBlank="1" showInputMessage="1" showErrorMessage="1" sqref="B37:B42">
      <formula1>YES_NO</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3" r:id="rId3"/>
  <headerFooter alignWithMargins="0">
    <oddFooter>&amp;L&amp;F&amp;C&amp;P of &amp;N&amp;R&amp;A</oddFooter>
  </headerFooter>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4" sqref="E4"/>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243</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438</v>
      </c>
      <c r="B20" s="87" t="s">
        <v>879</v>
      </c>
      <c r="C20" s="23"/>
    </row>
    <row r="21" spans="1:3" ht="12.75">
      <c r="A21" s="5" t="s">
        <v>424</v>
      </c>
      <c r="B21" s="87" t="s">
        <v>879</v>
      </c>
      <c r="C21" s="5"/>
    </row>
    <row r="22" spans="1:3" ht="12.75">
      <c r="A22" s="5" t="s">
        <v>439</v>
      </c>
      <c r="B22" s="87" t="s">
        <v>879</v>
      </c>
      <c r="C22" s="5"/>
    </row>
    <row r="23" spans="1:3" ht="12.75">
      <c r="A23" s="5" t="s">
        <v>440</v>
      </c>
      <c r="B23" s="87" t="s">
        <v>879</v>
      </c>
      <c r="C23" s="5"/>
    </row>
    <row r="24" spans="1:3" ht="12.75">
      <c r="A24" s="5" t="s">
        <v>441</v>
      </c>
      <c r="B24" s="87" t="s">
        <v>879</v>
      </c>
      <c r="C24" s="5"/>
    </row>
    <row r="25" spans="1:3" ht="12.75">
      <c r="A25" s="5" t="s">
        <v>442</v>
      </c>
      <c r="B25" s="87" t="s">
        <v>879</v>
      </c>
      <c r="C25" s="5"/>
    </row>
    <row r="26" spans="1:3" ht="12.75">
      <c r="A26" s="5" t="s">
        <v>443</v>
      </c>
      <c r="B26" s="87" t="s">
        <v>879</v>
      </c>
      <c r="C26" s="5"/>
    </row>
    <row r="27" spans="1:3" ht="12.75">
      <c r="A27" s="5" t="s">
        <v>444</v>
      </c>
      <c r="B27" s="87" t="s">
        <v>879</v>
      </c>
      <c r="C27" s="23"/>
    </row>
    <row r="28" spans="1:3" ht="12.75">
      <c r="A28" s="5" t="s">
        <v>445</v>
      </c>
      <c r="B28" s="87" t="s">
        <v>879</v>
      </c>
      <c r="C28" s="5"/>
    </row>
    <row r="29" spans="1:3" ht="12.75">
      <c r="A29" s="5" t="s">
        <v>446</v>
      </c>
      <c r="B29" s="87" t="s">
        <v>879</v>
      </c>
      <c r="C29" s="23"/>
    </row>
    <row r="30" spans="1:3" ht="12.75">
      <c r="A30" s="5" t="s">
        <v>447</v>
      </c>
      <c r="B30" s="87" t="s">
        <v>879</v>
      </c>
      <c r="C30" s="23"/>
    </row>
    <row r="31" spans="1:3" ht="12.75">
      <c r="A31" s="5" t="s">
        <v>119</v>
      </c>
      <c r="B31" s="87" t="s">
        <v>879</v>
      </c>
      <c r="C31" s="6"/>
    </row>
    <row r="32" spans="1:3" ht="12.75">
      <c r="A32" s="5" t="s">
        <v>448</v>
      </c>
      <c r="B32" s="87" t="s">
        <v>879</v>
      </c>
      <c r="C32" s="5"/>
    </row>
    <row r="33" spans="1:3" ht="12.75">
      <c r="A33" s="5" t="s">
        <v>382</v>
      </c>
      <c r="B33" s="87" t="s">
        <v>879</v>
      </c>
      <c r="C33" s="5"/>
    </row>
    <row r="34" spans="1:3" ht="12.75">
      <c r="A34" s="5" t="s">
        <v>449</v>
      </c>
      <c r="B34" s="87" t="s">
        <v>879</v>
      </c>
      <c r="C34" s="23"/>
    </row>
    <row r="35" spans="1:3" ht="12.75">
      <c r="A35" s="5" t="s">
        <v>450</v>
      </c>
      <c r="B35" s="87" t="s">
        <v>879</v>
      </c>
      <c r="C35" s="23"/>
    </row>
    <row r="36" spans="1:3" ht="12.75">
      <c r="A36" s="5" t="s">
        <v>451</v>
      </c>
      <c r="B36" s="87" t="s">
        <v>879</v>
      </c>
      <c r="C36" s="23"/>
    </row>
    <row r="37" spans="1:3" ht="12.75">
      <c r="A37" s="5" t="s">
        <v>452</v>
      </c>
      <c r="B37" s="87" t="s">
        <v>879</v>
      </c>
      <c r="C37" s="5"/>
    </row>
    <row r="38" spans="1:3" ht="12.75">
      <c r="A38" s="5" t="s">
        <v>453</v>
      </c>
      <c r="B38" s="87" t="s">
        <v>879</v>
      </c>
      <c r="C38" s="23"/>
    </row>
    <row r="40" spans="1:3" ht="25.5">
      <c r="A40" s="76" t="s">
        <v>1252</v>
      </c>
      <c r="B40" s="74"/>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7">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14:B38 B3"/>
    <dataValidation type="list" allowBlank="1" showInputMessage="1" showErrorMessage="1" sqref="B40:B45">
      <formula1>YES_NO</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E59"/>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224</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5" t="s">
        <v>438</v>
      </c>
      <c r="B21" s="87" t="s">
        <v>879</v>
      </c>
      <c r="C21" s="23"/>
    </row>
    <row r="22" spans="1:3" ht="12.75">
      <c r="A22" s="5" t="s">
        <v>424</v>
      </c>
      <c r="B22" s="87" t="s">
        <v>879</v>
      </c>
      <c r="C22" s="5"/>
    </row>
    <row r="23" spans="1:3" ht="12.75">
      <c r="A23" s="5" t="s">
        <v>439</v>
      </c>
      <c r="B23" s="87" t="s">
        <v>879</v>
      </c>
      <c r="C23" s="5"/>
    </row>
    <row r="24" spans="1:3" ht="12.75">
      <c r="A24" s="5" t="s">
        <v>440</v>
      </c>
      <c r="B24" s="87" t="s">
        <v>879</v>
      </c>
      <c r="C24" s="5"/>
    </row>
    <row r="25" spans="1:3" ht="12.75">
      <c r="A25" s="5" t="s">
        <v>441</v>
      </c>
      <c r="B25" s="87" t="s">
        <v>879</v>
      </c>
      <c r="C25" s="5"/>
    </row>
    <row r="26" spans="1:3" ht="12.75">
      <c r="A26" s="5" t="s">
        <v>442</v>
      </c>
      <c r="B26" s="87" t="s">
        <v>879</v>
      </c>
      <c r="C26" s="5"/>
    </row>
    <row r="27" spans="1:3" ht="12.75">
      <c r="A27" s="5" t="s">
        <v>443</v>
      </c>
      <c r="B27" s="87" t="s">
        <v>879</v>
      </c>
      <c r="C27" s="5"/>
    </row>
    <row r="28" spans="1:3" ht="12.75">
      <c r="A28" s="5" t="s">
        <v>444</v>
      </c>
      <c r="B28" s="87" t="s">
        <v>879</v>
      </c>
      <c r="C28" s="23"/>
    </row>
    <row r="29" spans="1:3" ht="12.75">
      <c r="A29" s="5" t="s">
        <v>445</v>
      </c>
      <c r="B29" s="87" t="s">
        <v>879</v>
      </c>
      <c r="C29" s="5"/>
    </row>
    <row r="30" spans="1:3" ht="12.75">
      <c r="A30" s="5" t="s">
        <v>446</v>
      </c>
      <c r="B30" s="87" t="s">
        <v>879</v>
      </c>
      <c r="C30" s="23"/>
    </row>
    <row r="31" spans="1:3" ht="12.75">
      <c r="A31" s="5" t="s">
        <v>447</v>
      </c>
      <c r="B31" s="87" t="s">
        <v>879</v>
      </c>
      <c r="C31" s="23"/>
    </row>
    <row r="32" spans="1:3" ht="12.75">
      <c r="A32" s="5" t="s">
        <v>119</v>
      </c>
      <c r="B32" s="87" t="s">
        <v>879</v>
      </c>
      <c r="C32" s="6"/>
    </row>
    <row r="33" spans="1:3" ht="12.75">
      <c r="A33" s="5" t="s">
        <v>448</v>
      </c>
      <c r="B33" s="87" t="s">
        <v>879</v>
      </c>
      <c r="C33" s="5"/>
    </row>
    <row r="34" spans="1:3" ht="12.75">
      <c r="A34" s="5" t="s">
        <v>382</v>
      </c>
      <c r="B34" s="87" t="s">
        <v>879</v>
      </c>
      <c r="C34" s="5"/>
    </row>
    <row r="35" spans="1:3" ht="12.75">
      <c r="A35" s="5" t="s">
        <v>449</v>
      </c>
      <c r="B35" s="87" t="s">
        <v>879</v>
      </c>
      <c r="C35" s="23"/>
    </row>
    <row r="36" spans="1:3" ht="12.75">
      <c r="A36" s="5" t="s">
        <v>450</v>
      </c>
      <c r="B36" s="87" t="s">
        <v>879</v>
      </c>
      <c r="C36" s="23"/>
    </row>
    <row r="37" spans="1:3" ht="12.75">
      <c r="A37" s="5" t="s">
        <v>451</v>
      </c>
      <c r="B37" s="87" t="s">
        <v>879</v>
      </c>
      <c r="C37" s="23"/>
    </row>
    <row r="38" spans="1:3" ht="12.75">
      <c r="A38" s="5" t="s">
        <v>452</v>
      </c>
      <c r="B38" s="87" t="s">
        <v>879</v>
      </c>
      <c r="C38" s="5"/>
    </row>
    <row r="39" spans="1:3" ht="12.75">
      <c r="A39" s="5" t="s">
        <v>453</v>
      </c>
      <c r="B39" s="87" t="s">
        <v>879</v>
      </c>
      <c r="C39" s="23"/>
    </row>
    <row r="41" spans="1:3" ht="25.5">
      <c r="A41" s="76" t="s">
        <v>1252</v>
      </c>
      <c r="B41" s="74"/>
      <c r="C41" s="23" t="s">
        <v>510</v>
      </c>
    </row>
    <row r="42" spans="1:3" ht="25.5">
      <c r="A42" s="76" t="s">
        <v>1253</v>
      </c>
      <c r="B42" s="74"/>
      <c r="C42" s="23" t="s">
        <v>510</v>
      </c>
    </row>
    <row r="43" spans="1:3" ht="12.75">
      <c r="A43" s="76" t="s">
        <v>1254</v>
      </c>
      <c r="B43" s="74"/>
      <c r="C43" s="23" t="s">
        <v>510</v>
      </c>
    </row>
    <row r="44" spans="1:3" ht="38.25">
      <c r="A44" s="76" t="s">
        <v>1255</v>
      </c>
      <c r="B44" s="74"/>
      <c r="C44" s="23" t="s">
        <v>510</v>
      </c>
    </row>
    <row r="45" spans="1:3" ht="51">
      <c r="A45" s="76" t="s">
        <v>1256</v>
      </c>
      <c r="B45" s="74"/>
      <c r="C45" s="23" t="s">
        <v>510</v>
      </c>
    </row>
    <row r="46" spans="1:3" ht="51">
      <c r="A46" s="76" t="s">
        <v>1257</v>
      </c>
      <c r="B46" s="74"/>
      <c r="C46" s="23" t="s">
        <v>510</v>
      </c>
    </row>
    <row r="47" spans="1:3" ht="25.5">
      <c r="A47" s="76" t="s">
        <v>1258</v>
      </c>
      <c r="B47" s="74"/>
      <c r="C47" s="23"/>
    </row>
    <row r="49" spans="1:3" ht="12.75">
      <c r="A49" s="120" t="s">
        <v>154</v>
      </c>
      <c r="B49" s="120"/>
      <c r="C49" s="120"/>
    </row>
    <row r="50" spans="1:3" ht="12.75">
      <c r="A50" s="121"/>
      <c r="B50" s="122"/>
      <c r="C50" s="123"/>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4"/>
      <c r="B58" s="125"/>
      <c r="C58" s="126"/>
    </row>
    <row r="59" spans="1:3" ht="12.75">
      <c r="A59" s="127"/>
      <c r="B59" s="128"/>
      <c r="C59" s="129"/>
    </row>
  </sheetData>
  <mergeCells count="2">
    <mergeCell ref="A49:C49"/>
    <mergeCell ref="A50:C59"/>
  </mergeCells>
  <dataValidations count="8">
    <dataValidation allowBlank="1" showInputMessage="1" showErrorMessage="1" sqref="B21:B39 B14:B19 B3"/>
    <dataValidation errorStyle="warning" type="list" allowBlank="1" showInputMessage="1" showErrorMessage="1" sqref="B20">
      <formula1>Controllable_Asset_Indicator</formula1>
    </dataValidation>
    <dataValidation type="list" allowBlank="1" showInputMessage="1" showErrorMessage="1" sqref="B41:B46">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79" r:id="rId3"/>
  <headerFooter alignWithMargins="0">
    <oddFooter>&amp;L&amp;F&amp;C&amp;P of &amp;N&amp;R&amp;A</oddFooter>
  </headerFooter>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F6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193</v>
      </c>
      <c r="C3" s="4" t="s">
        <v>193</v>
      </c>
      <c r="D3" s="23"/>
    </row>
    <row r="4" spans="1:6" ht="12.75">
      <c r="A4" s="72" t="s">
        <v>6</v>
      </c>
      <c r="B4" s="4"/>
      <c r="C4" s="4"/>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VCCF008230</v>
      </c>
      <c r="C11" s="2" t="str">
        <f t="shared" si="0"/>
        <v>VCCF008230</v>
      </c>
      <c r="D11" s="72"/>
    </row>
    <row r="12" spans="1:4" ht="12.75">
      <c r="A12" s="72" t="s">
        <v>13</v>
      </c>
      <c r="B12" s="3"/>
      <c r="C12" s="3"/>
      <c r="D12" s="72"/>
    </row>
    <row r="13" spans="1:4" ht="12.75">
      <c r="A13" s="72" t="s">
        <v>491</v>
      </c>
      <c r="B13" s="4" t="str">
        <f>+'9707 Compressor Pkg'!B13</f>
        <v>INAC-Suspended, Shut-in</v>
      </c>
      <c r="C13" s="4" t="str">
        <f>+B13</f>
        <v>INAC-Suspended, Shut-in</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5" t="s">
        <v>19</v>
      </c>
      <c r="B20" s="87" t="s">
        <v>879</v>
      </c>
      <c r="C20" s="87" t="s">
        <v>879</v>
      </c>
      <c r="D20" s="23" t="s">
        <v>510</v>
      </c>
    </row>
    <row r="21" spans="1:4" ht="12.75">
      <c r="A21" s="5" t="s">
        <v>391</v>
      </c>
      <c r="B21" s="87" t="s">
        <v>879</v>
      </c>
      <c r="C21" s="87" t="s">
        <v>879</v>
      </c>
      <c r="D21" s="23"/>
    </row>
    <row r="22" spans="1:4" ht="12.75">
      <c r="A22" s="5" t="s">
        <v>392</v>
      </c>
      <c r="B22" s="87" t="s">
        <v>879</v>
      </c>
      <c r="C22" s="87" t="s">
        <v>879</v>
      </c>
      <c r="D22" s="23"/>
    </row>
    <row r="23" spans="1:4" ht="12.75">
      <c r="A23" s="5" t="s">
        <v>393</v>
      </c>
      <c r="B23" s="87" t="s">
        <v>879</v>
      </c>
      <c r="C23" s="87" t="s">
        <v>879</v>
      </c>
      <c r="D23" s="23" t="s">
        <v>512</v>
      </c>
    </row>
    <row r="24" spans="1:4" ht="12.75">
      <c r="A24" s="5" t="s">
        <v>394</v>
      </c>
      <c r="B24" s="87" t="s">
        <v>879</v>
      </c>
      <c r="C24" s="87" t="s">
        <v>879</v>
      </c>
      <c r="D24" s="23"/>
    </row>
    <row r="25" spans="1:4" ht="12.75">
      <c r="A25" s="5" t="s">
        <v>395</v>
      </c>
      <c r="B25" s="87" t="s">
        <v>879</v>
      </c>
      <c r="C25" s="87" t="s">
        <v>879</v>
      </c>
      <c r="D25" s="23"/>
    </row>
    <row r="26" spans="1:4" ht="12.75">
      <c r="A26" s="5" t="s">
        <v>396</v>
      </c>
      <c r="B26" s="87" t="s">
        <v>879</v>
      </c>
      <c r="C26" s="87" t="s">
        <v>879</v>
      </c>
      <c r="D26" s="23" t="s">
        <v>397</v>
      </c>
    </row>
    <row r="27" spans="1:4" ht="12.75">
      <c r="A27" s="5" t="s">
        <v>398</v>
      </c>
      <c r="B27" s="87" t="s">
        <v>879</v>
      </c>
      <c r="C27" s="87" t="s">
        <v>879</v>
      </c>
      <c r="D27" s="23"/>
    </row>
    <row r="28" spans="1:4" ht="12.75">
      <c r="A28" s="5" t="s">
        <v>399</v>
      </c>
      <c r="B28" s="87" t="s">
        <v>879</v>
      </c>
      <c r="C28" s="87" t="s">
        <v>879</v>
      </c>
      <c r="D28" s="23"/>
    </row>
    <row r="29" spans="1:4" ht="12.75">
      <c r="A29" s="5" t="s">
        <v>383</v>
      </c>
      <c r="B29" s="87" t="s">
        <v>879</v>
      </c>
      <c r="C29" s="87" t="s">
        <v>879</v>
      </c>
      <c r="D29" s="23" t="s">
        <v>510</v>
      </c>
    </row>
    <row r="30" spans="1:4" ht="12.75">
      <c r="A30" s="5" t="s">
        <v>400</v>
      </c>
      <c r="B30" s="87" t="s">
        <v>879</v>
      </c>
      <c r="C30" s="87" t="s">
        <v>879</v>
      </c>
      <c r="D30" s="23"/>
    </row>
    <row r="31" spans="1:4" ht="12.75">
      <c r="A31" s="5" t="s">
        <v>384</v>
      </c>
      <c r="B31" s="87" t="s">
        <v>879</v>
      </c>
      <c r="C31" s="87" t="s">
        <v>879</v>
      </c>
      <c r="D31" s="23" t="s">
        <v>510</v>
      </c>
    </row>
    <row r="32" spans="1:4" ht="12.75">
      <c r="A32" s="5" t="s">
        <v>119</v>
      </c>
      <c r="B32" s="87" t="s">
        <v>879</v>
      </c>
      <c r="C32" s="87" t="s">
        <v>879</v>
      </c>
      <c r="D32" s="23"/>
    </row>
    <row r="33" spans="1:4" ht="12.75">
      <c r="A33" s="5" t="s">
        <v>385</v>
      </c>
      <c r="B33" s="87" t="s">
        <v>879</v>
      </c>
      <c r="C33" s="87" t="s">
        <v>879</v>
      </c>
      <c r="D33" s="23" t="s">
        <v>510</v>
      </c>
    </row>
    <row r="34" spans="1:4" ht="12.75">
      <c r="A34" s="5" t="s">
        <v>386</v>
      </c>
      <c r="B34" s="87" t="s">
        <v>879</v>
      </c>
      <c r="C34" s="87" t="s">
        <v>879</v>
      </c>
      <c r="D34" s="23" t="s">
        <v>510</v>
      </c>
    </row>
    <row r="35" spans="1:4" ht="12.75">
      <c r="A35" s="5" t="s">
        <v>387</v>
      </c>
      <c r="B35" s="87" t="s">
        <v>879</v>
      </c>
      <c r="C35" s="87" t="s">
        <v>879</v>
      </c>
      <c r="D35" s="23" t="s">
        <v>510</v>
      </c>
    </row>
    <row r="36" spans="1:4" ht="12.75">
      <c r="A36" s="5" t="s">
        <v>388</v>
      </c>
      <c r="B36" s="87" t="s">
        <v>879</v>
      </c>
      <c r="C36" s="87" t="s">
        <v>879</v>
      </c>
      <c r="D36" s="23" t="s">
        <v>510</v>
      </c>
    </row>
    <row r="37" spans="1:4" ht="12.75">
      <c r="A37" s="5" t="s">
        <v>401</v>
      </c>
      <c r="B37" s="87" t="s">
        <v>879</v>
      </c>
      <c r="C37" s="87" t="s">
        <v>879</v>
      </c>
      <c r="D37" s="23"/>
    </row>
    <row r="38" spans="1:4" ht="12.75">
      <c r="A38" s="5" t="s">
        <v>389</v>
      </c>
      <c r="B38" s="87" t="s">
        <v>879</v>
      </c>
      <c r="C38" s="87" t="s">
        <v>879</v>
      </c>
      <c r="D38" s="23" t="s">
        <v>510</v>
      </c>
    </row>
    <row r="39" spans="1:4" ht="12.75">
      <c r="A39" s="5" t="s">
        <v>390</v>
      </c>
      <c r="B39" s="87" t="s">
        <v>879</v>
      </c>
      <c r="C39" s="87" t="s">
        <v>879</v>
      </c>
      <c r="D39" s="23" t="s">
        <v>510</v>
      </c>
    </row>
    <row r="40" spans="1:4" ht="12.75">
      <c r="A40" s="5" t="s">
        <v>402</v>
      </c>
      <c r="B40" s="87" t="s">
        <v>879</v>
      </c>
      <c r="C40" s="87" t="s">
        <v>879</v>
      </c>
      <c r="D40" s="23"/>
    </row>
    <row r="42" spans="1:4" ht="25.5">
      <c r="A42" s="76" t="s">
        <v>1252</v>
      </c>
      <c r="B42" s="74"/>
      <c r="C42" s="74"/>
      <c r="D42" s="23" t="s">
        <v>510</v>
      </c>
    </row>
    <row r="43" spans="1:4" ht="25.5">
      <c r="A43" s="76" t="s">
        <v>1253</v>
      </c>
      <c r="B43" s="74"/>
      <c r="C43" s="74"/>
      <c r="D43" s="23" t="s">
        <v>510</v>
      </c>
    </row>
    <row r="44" spans="1:4" ht="12.75">
      <c r="A44" s="76" t="s">
        <v>1254</v>
      </c>
      <c r="B44" s="74"/>
      <c r="C44" s="74"/>
      <c r="D44" s="23" t="s">
        <v>510</v>
      </c>
    </row>
    <row r="45" spans="1:4" ht="38.25">
      <c r="A45" s="76" t="s">
        <v>1255</v>
      </c>
      <c r="B45" s="74"/>
      <c r="C45" s="74"/>
      <c r="D45" s="23" t="s">
        <v>510</v>
      </c>
    </row>
    <row r="46" spans="1:4" ht="51">
      <c r="A46" s="76" t="s">
        <v>1256</v>
      </c>
      <c r="B46" s="74"/>
      <c r="C46" s="74"/>
      <c r="D46" s="23" t="s">
        <v>510</v>
      </c>
    </row>
    <row r="47" spans="1:4" ht="51">
      <c r="A47" s="76" t="s">
        <v>1257</v>
      </c>
      <c r="B47" s="74"/>
      <c r="C47" s="74"/>
      <c r="D47" s="23" t="s">
        <v>510</v>
      </c>
    </row>
    <row r="48" spans="1:4" ht="25.5">
      <c r="A48" s="76" t="s">
        <v>1258</v>
      </c>
      <c r="B48" s="74"/>
      <c r="C48" s="74"/>
      <c r="D48" s="23"/>
    </row>
    <row r="49" ht="12.75">
      <c r="C49" s="1"/>
    </row>
    <row r="50" spans="1:4" ht="12.75">
      <c r="A50" s="120" t="s">
        <v>154</v>
      </c>
      <c r="B50" s="120"/>
      <c r="C50" s="120"/>
      <c r="D50" s="120"/>
    </row>
    <row r="51" spans="1:4" ht="12.75">
      <c r="A51" s="121"/>
      <c r="B51" s="130"/>
      <c r="C51" s="122"/>
      <c r="D51" s="123"/>
    </row>
    <row r="52" spans="1:4" ht="12.75">
      <c r="A52" s="124"/>
      <c r="B52" s="125"/>
      <c r="C52" s="125"/>
      <c r="D52" s="126"/>
    </row>
    <row r="53" spans="1:4" ht="12.75">
      <c r="A53" s="124"/>
      <c r="B53" s="125"/>
      <c r="C53" s="125"/>
      <c r="D53" s="126"/>
    </row>
    <row r="54" spans="1:4" ht="12.75">
      <c r="A54" s="124"/>
      <c r="B54" s="125"/>
      <c r="C54" s="125"/>
      <c r="D54" s="126"/>
    </row>
    <row r="55" spans="1:4" ht="12.75">
      <c r="A55" s="124"/>
      <c r="B55" s="125"/>
      <c r="C55" s="125"/>
      <c r="D55" s="126"/>
    </row>
    <row r="56" spans="1:4" ht="12.75">
      <c r="A56" s="124"/>
      <c r="B56" s="125"/>
      <c r="C56" s="125"/>
      <c r="D56" s="126"/>
    </row>
    <row r="57" spans="1:4" ht="12.75">
      <c r="A57" s="124"/>
      <c r="B57" s="125"/>
      <c r="C57" s="125"/>
      <c r="D57" s="126"/>
    </row>
    <row r="58" spans="1:4" ht="12.75">
      <c r="A58" s="124"/>
      <c r="B58" s="125"/>
      <c r="C58" s="125"/>
      <c r="D58" s="126"/>
    </row>
    <row r="59" spans="1:4" ht="12.75">
      <c r="A59" s="124"/>
      <c r="B59" s="125"/>
      <c r="C59" s="125"/>
      <c r="D59" s="126"/>
    </row>
    <row r="60" spans="1:4" ht="12.75">
      <c r="A60" s="127"/>
      <c r="B60" s="128"/>
      <c r="C60" s="128"/>
      <c r="D60" s="129"/>
    </row>
  </sheetData>
  <mergeCells count="2">
    <mergeCell ref="A50:D50"/>
    <mergeCell ref="A51:D60"/>
  </mergeCells>
  <dataValidations count="11">
    <dataValidation type="list" allowBlank="1" showInputMessage="1" showErrorMessage="1" sqref="B42:C47">
      <formula1>YES_NO</formula1>
    </dataValidation>
    <dataValidation errorStyle="warning" type="list" allowBlank="1" showInputMessage="1" showErrorMessage="1" sqref="B13:C13">
      <formula1>STATUS</formula1>
    </dataValidation>
    <dataValidation errorStyle="warning" type="list" allowBlank="1" showInputMessage="1" showErrorMessage="1" sqref="B10:C10">
      <formula1>Process</formula1>
    </dataValidation>
    <dataValidation errorStyle="warning" type="list" allowBlank="1" showInputMessage="1" showErrorMessage="1" sqref="B7:C7">
      <formula1>Type_of_Facility</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34:C36 B38:C39">
      <formula1>YES_NO</formula1>
    </dataValidation>
    <dataValidation errorStyle="warning" type="list" allowBlank="1" showInputMessage="1" showErrorMessage="1" sqref="B33:C33">
      <formula1>SERVICE_FACTOR</formula1>
    </dataValidation>
    <dataValidation errorStyle="warning" type="list" allowBlank="1" showInputMessage="1" showErrorMessage="1" sqref="B31:C31">
      <formula1>MOTOR_VOLTAGE_RATING</formula1>
    </dataValidation>
    <dataValidation errorStyle="warning" type="list" allowBlank="1" showInputMessage="1" showErrorMessage="1" sqref="B29:C29">
      <formula1>MOTOR_SPACE_HEATER_RATED_VOLTS</formula1>
    </dataValidation>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63" r:id="rId3"/>
  <headerFooter alignWithMargins="0">
    <oddFooter>&amp;L&amp;F&amp;C&amp;P of &amp;N&amp;R&amp;A</oddFooter>
  </headerFooter>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E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4" sqref="E4"/>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199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5" t="s">
        <v>486</v>
      </c>
      <c r="B21" s="87" t="s">
        <v>879</v>
      </c>
      <c r="C21" s="23"/>
    </row>
    <row r="22" spans="1:3" ht="12.75">
      <c r="A22" s="5" t="s">
        <v>119</v>
      </c>
      <c r="B22" s="87" t="s">
        <v>879</v>
      </c>
      <c r="C22" s="23"/>
    </row>
    <row r="23" spans="1:3" ht="12.75">
      <c r="A23" s="5" t="s">
        <v>396</v>
      </c>
      <c r="B23" s="87" t="s">
        <v>879</v>
      </c>
      <c r="C23" s="23"/>
    </row>
    <row r="24" spans="1:3" ht="12.75">
      <c r="A24" s="5" t="s">
        <v>487</v>
      </c>
      <c r="B24" s="87" t="s">
        <v>879</v>
      </c>
      <c r="C24" s="23"/>
    </row>
    <row r="25" spans="1:3" ht="12.75">
      <c r="A25" s="19" t="s">
        <v>351</v>
      </c>
      <c r="B25" s="87" t="s">
        <v>879</v>
      </c>
      <c r="C25" s="23" t="s">
        <v>510</v>
      </c>
    </row>
    <row r="26" spans="1:3" ht="12.75">
      <c r="A26" s="5" t="s">
        <v>488</v>
      </c>
      <c r="B26" s="87" t="s">
        <v>879</v>
      </c>
      <c r="C26" s="23"/>
    </row>
    <row r="28" spans="1:3" ht="25.5">
      <c r="A28" s="76" t="s">
        <v>1252</v>
      </c>
      <c r="B28" s="74"/>
      <c r="C28" s="23" t="s">
        <v>510</v>
      </c>
    </row>
    <row r="29" spans="1:3" ht="25.5">
      <c r="A29" s="76" t="s">
        <v>1253</v>
      </c>
      <c r="B29" s="74"/>
      <c r="C29" s="23" t="s">
        <v>510</v>
      </c>
    </row>
    <row r="30" spans="1:3" ht="12.75">
      <c r="A30" s="76" t="s">
        <v>1254</v>
      </c>
      <c r="B30" s="74"/>
      <c r="C30" s="23" t="s">
        <v>510</v>
      </c>
    </row>
    <row r="31" spans="1:3" ht="38.25">
      <c r="A31" s="76" t="s">
        <v>1255</v>
      </c>
      <c r="B31" s="74"/>
      <c r="C31" s="23" t="s">
        <v>510</v>
      </c>
    </row>
    <row r="32" spans="1:3" ht="51">
      <c r="A32" s="76" t="s">
        <v>1256</v>
      </c>
      <c r="B32" s="74"/>
      <c r="C32" s="23" t="s">
        <v>510</v>
      </c>
    </row>
    <row r="33" spans="1:3" ht="51">
      <c r="A33" s="76" t="s">
        <v>1257</v>
      </c>
      <c r="B33" s="74"/>
      <c r="C33" s="23" t="s">
        <v>510</v>
      </c>
    </row>
    <row r="34" spans="1:3" ht="25.5">
      <c r="A34" s="76" t="s">
        <v>1258</v>
      </c>
      <c r="B34" s="74"/>
      <c r="C34" s="23"/>
    </row>
    <row r="36" spans="1:3" ht="12.75">
      <c r="A36" s="120" t="s">
        <v>154</v>
      </c>
      <c r="B36" s="120"/>
      <c r="C36" s="120"/>
    </row>
    <row r="37" spans="1:3" ht="12.75">
      <c r="A37" s="121"/>
      <c r="B37" s="122"/>
      <c r="C37" s="123"/>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4"/>
      <c r="B44" s="125"/>
      <c r="C44" s="126"/>
    </row>
    <row r="45" spans="1:3" ht="12.75">
      <c r="A45" s="124"/>
      <c r="B45" s="125"/>
      <c r="C45" s="126"/>
    </row>
    <row r="46" spans="1:3" ht="12.75">
      <c r="A46" s="127"/>
      <c r="B46" s="128"/>
      <c r="C46" s="129"/>
    </row>
  </sheetData>
  <mergeCells count="2">
    <mergeCell ref="A36:C36"/>
    <mergeCell ref="A37:C46"/>
  </mergeCells>
  <dataValidations count="8">
    <dataValidation type="list" allowBlank="1" showInputMessage="1" showErrorMessage="1" sqref="B28:B33">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5">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xml><?xml version="1.0" encoding="utf-8"?>
<worksheet xmlns="http://schemas.openxmlformats.org/spreadsheetml/2006/main" xmlns:r="http://schemas.openxmlformats.org/officeDocument/2006/relationships">
  <dimension ref="A1:BL220"/>
  <sheetViews>
    <sheetView workbookViewId="0" topLeftCell="A1">
      <selection activeCell="A1" sqref="A1"/>
    </sheetView>
  </sheetViews>
  <sheetFormatPr defaultColWidth="9.140625" defaultRowHeight="12.75"/>
  <sheetData>
    <row r="1" spans="1:64" ht="12.75">
      <c r="A1" s="7" t="s">
        <v>4</v>
      </c>
      <c r="B1" s="7" t="s">
        <v>7</v>
      </c>
      <c r="C1" s="7" t="s">
        <v>509</v>
      </c>
      <c r="D1" s="7" t="s">
        <v>18</v>
      </c>
      <c r="E1" s="7" t="s">
        <v>11</v>
      </c>
      <c r="F1" s="7" t="s">
        <v>745</v>
      </c>
      <c r="G1" s="7" t="s">
        <v>19</v>
      </c>
      <c r="H1" s="7" t="s">
        <v>746</v>
      </c>
      <c r="I1" s="7" t="s">
        <v>747</v>
      </c>
      <c r="J1" s="7" t="s">
        <v>748</v>
      </c>
      <c r="K1" s="7" t="s">
        <v>749</v>
      </c>
      <c r="L1" s="7" t="s">
        <v>750</v>
      </c>
      <c r="M1" s="7" t="s">
        <v>757</v>
      </c>
      <c r="N1" s="7" t="s">
        <v>436</v>
      </c>
      <c r="O1" s="7" t="s">
        <v>759</v>
      </c>
      <c r="P1" s="7" t="s">
        <v>428</v>
      </c>
      <c r="Q1" s="7" t="s">
        <v>765</v>
      </c>
      <c r="R1" s="7" t="s">
        <v>766</v>
      </c>
      <c r="S1" s="7" t="s">
        <v>767</v>
      </c>
      <c r="T1" s="7" t="s">
        <v>769</v>
      </c>
      <c r="U1" s="7" t="s">
        <v>770</v>
      </c>
      <c r="V1" s="7" t="s">
        <v>771</v>
      </c>
      <c r="W1" s="7" t="s">
        <v>774</v>
      </c>
      <c r="X1" s="7" t="s">
        <v>775</v>
      </c>
      <c r="Y1" s="7" t="s">
        <v>776</v>
      </c>
      <c r="Z1" s="7" t="s">
        <v>777</v>
      </c>
      <c r="AA1" s="7" t="s">
        <v>433</v>
      </c>
      <c r="AB1" s="7" t="s">
        <v>778</v>
      </c>
      <c r="AC1" s="7" t="s">
        <v>821</v>
      </c>
      <c r="AD1" s="7" t="s">
        <v>779</v>
      </c>
      <c r="AE1" s="7" t="s">
        <v>780</v>
      </c>
      <c r="AF1" s="7" t="s">
        <v>781</v>
      </c>
      <c r="AG1" s="7" t="s">
        <v>782</v>
      </c>
      <c r="AH1" s="7" t="s">
        <v>783</v>
      </c>
      <c r="AI1" s="7" t="s">
        <v>788</v>
      </c>
      <c r="AJ1" s="7" t="s">
        <v>793</v>
      </c>
      <c r="AK1" s="7" t="s">
        <v>796</v>
      </c>
      <c r="AL1" s="7" t="s">
        <v>797</v>
      </c>
      <c r="AM1" s="7" t="s">
        <v>798</v>
      </c>
      <c r="AN1" s="7" t="s">
        <v>799</v>
      </c>
      <c r="AO1" s="7" t="s">
        <v>800</v>
      </c>
      <c r="AP1" s="7" t="s">
        <v>803</v>
      </c>
      <c r="AQ1" s="7" t="s">
        <v>356</v>
      </c>
      <c r="AR1" s="7" t="s">
        <v>357</v>
      </c>
      <c r="AS1" s="7" t="s">
        <v>358</v>
      </c>
      <c r="AT1" s="7" t="s">
        <v>359</v>
      </c>
      <c r="AU1" s="7" t="s">
        <v>372</v>
      </c>
      <c r="AV1" s="7" t="s">
        <v>373</v>
      </c>
      <c r="AW1" s="8" t="s">
        <v>464</v>
      </c>
      <c r="AX1" s="8" t="s">
        <v>465</v>
      </c>
      <c r="AY1" s="9" t="s">
        <v>383</v>
      </c>
      <c r="AZ1" s="9" t="s">
        <v>384</v>
      </c>
      <c r="BA1" s="9" t="s">
        <v>385</v>
      </c>
      <c r="BB1" s="9" t="s">
        <v>386</v>
      </c>
      <c r="BC1" s="9" t="s">
        <v>387</v>
      </c>
      <c r="BD1" s="9" t="s">
        <v>388</v>
      </c>
      <c r="BE1" s="9" t="s">
        <v>389</v>
      </c>
      <c r="BF1" s="9" t="s">
        <v>390</v>
      </c>
      <c r="BG1" s="9" t="s">
        <v>403</v>
      </c>
      <c r="BH1" s="8" t="s">
        <v>819</v>
      </c>
      <c r="BI1" s="8" t="s">
        <v>818</v>
      </c>
      <c r="BJ1" s="8" t="s">
        <v>470</v>
      </c>
      <c r="BK1" s="10" t="s">
        <v>822</v>
      </c>
      <c r="BL1" s="10" t="s">
        <v>1279</v>
      </c>
    </row>
    <row r="2" spans="1:64" ht="12.75">
      <c r="A2" s="11" t="s">
        <v>27</v>
      </c>
      <c r="B2" s="11" t="s">
        <v>27</v>
      </c>
      <c r="C2" s="11" t="s">
        <v>27</v>
      </c>
      <c r="D2" s="11" t="s">
        <v>27</v>
      </c>
      <c r="E2" s="11" t="s">
        <v>27</v>
      </c>
      <c r="F2" s="83" t="s">
        <v>1297</v>
      </c>
      <c r="G2" s="11" t="s">
        <v>28</v>
      </c>
      <c r="H2" s="11" t="s">
        <v>31</v>
      </c>
      <c r="I2" s="11" t="s">
        <v>31</v>
      </c>
      <c r="J2" s="11" t="s">
        <v>31</v>
      </c>
      <c r="K2" s="11" t="s">
        <v>31</v>
      </c>
      <c r="L2" s="11" t="s">
        <v>751</v>
      </c>
      <c r="M2" s="11" t="s">
        <v>31</v>
      </c>
      <c r="N2" s="11" t="s">
        <v>31</v>
      </c>
      <c r="O2" s="11" t="s">
        <v>760</v>
      </c>
      <c r="P2" s="11" t="s">
        <v>763</v>
      </c>
      <c r="Q2" s="11" t="s">
        <v>31</v>
      </c>
      <c r="R2" s="11" t="s">
        <v>31</v>
      </c>
      <c r="S2" s="11" t="s">
        <v>768</v>
      </c>
      <c r="T2" s="11" t="s">
        <v>31</v>
      </c>
      <c r="U2" s="11" t="s">
        <v>31</v>
      </c>
      <c r="V2" s="11" t="s">
        <v>772</v>
      </c>
      <c r="W2" s="11" t="s">
        <v>31</v>
      </c>
      <c r="X2" s="11" t="s">
        <v>31</v>
      </c>
      <c r="Y2" s="11" t="s">
        <v>31</v>
      </c>
      <c r="Z2" s="11" t="s">
        <v>31</v>
      </c>
      <c r="AA2" s="11" t="s">
        <v>31</v>
      </c>
      <c r="AB2" s="11" t="s">
        <v>31</v>
      </c>
      <c r="AC2" s="11" t="s">
        <v>29</v>
      </c>
      <c r="AD2" s="11" t="s">
        <v>30</v>
      </c>
      <c r="AE2" s="11" t="s">
        <v>31</v>
      </c>
      <c r="AF2" s="11" t="s">
        <v>31</v>
      </c>
      <c r="AG2" s="11" t="s">
        <v>31</v>
      </c>
      <c r="AH2" s="11" t="s">
        <v>784</v>
      </c>
      <c r="AI2" s="11" t="s">
        <v>789</v>
      </c>
      <c r="AJ2" s="11" t="s">
        <v>794</v>
      </c>
      <c r="AK2" s="11" t="s">
        <v>31</v>
      </c>
      <c r="AL2" s="11" t="s">
        <v>31</v>
      </c>
      <c r="AM2" s="11" t="s">
        <v>31</v>
      </c>
      <c r="AN2" s="11" t="s">
        <v>31</v>
      </c>
      <c r="AO2" s="11" t="s">
        <v>801</v>
      </c>
      <c r="AP2" s="11" t="s">
        <v>31</v>
      </c>
      <c r="AQ2" s="11">
        <v>1</v>
      </c>
      <c r="AR2" s="11" t="s">
        <v>31</v>
      </c>
      <c r="AS2" s="11" t="s">
        <v>804</v>
      </c>
      <c r="AT2" s="11" t="s">
        <v>31</v>
      </c>
      <c r="AU2" s="11" t="s">
        <v>31</v>
      </c>
      <c r="AV2" s="11" t="s">
        <v>31</v>
      </c>
      <c r="AW2" s="11" t="s">
        <v>806</v>
      </c>
      <c r="AX2" s="11" t="s">
        <v>807</v>
      </c>
      <c r="AY2" s="12">
        <v>115</v>
      </c>
      <c r="AZ2" s="12">
        <v>115</v>
      </c>
      <c r="BA2" s="13">
        <v>1</v>
      </c>
      <c r="BB2" s="13" t="s">
        <v>31</v>
      </c>
      <c r="BC2" s="13" t="s">
        <v>31</v>
      </c>
      <c r="BD2" s="13" t="s">
        <v>31</v>
      </c>
      <c r="BE2" s="13" t="s">
        <v>31</v>
      </c>
      <c r="BF2" s="13" t="s">
        <v>31</v>
      </c>
      <c r="BG2" s="13" t="s">
        <v>808</v>
      </c>
      <c r="BH2" s="11" t="s">
        <v>31</v>
      </c>
      <c r="BI2" s="11" t="s">
        <v>31</v>
      </c>
      <c r="BJ2" s="11" t="s">
        <v>31</v>
      </c>
      <c r="BK2" s="11" t="s">
        <v>31</v>
      </c>
      <c r="BL2" s="11" t="s">
        <v>31</v>
      </c>
    </row>
    <row r="3" spans="1:64" ht="12.75">
      <c r="A3" s="11" t="s">
        <v>32</v>
      </c>
      <c r="B3" s="11" t="s">
        <v>33</v>
      </c>
      <c r="C3" s="11" t="s">
        <v>529</v>
      </c>
      <c r="D3" s="14" t="s">
        <v>34</v>
      </c>
      <c r="E3" s="11" t="s">
        <v>35</v>
      </c>
      <c r="F3" s="83" t="s">
        <v>1298</v>
      </c>
      <c r="G3" s="11" t="s">
        <v>36</v>
      </c>
      <c r="H3" s="11" t="s">
        <v>39</v>
      </c>
      <c r="I3" s="11" t="s">
        <v>39</v>
      </c>
      <c r="J3" s="11" t="s">
        <v>39</v>
      </c>
      <c r="K3" s="11" t="s">
        <v>39</v>
      </c>
      <c r="L3" s="11" t="s">
        <v>752</v>
      </c>
      <c r="M3" s="11" t="s">
        <v>39</v>
      </c>
      <c r="N3" s="11" t="s">
        <v>39</v>
      </c>
      <c r="O3" s="11" t="s">
        <v>761</v>
      </c>
      <c r="P3" s="11" t="s">
        <v>764</v>
      </c>
      <c r="Q3" s="11" t="s">
        <v>39</v>
      </c>
      <c r="R3" s="11" t="s">
        <v>39</v>
      </c>
      <c r="S3" s="11"/>
      <c r="T3" s="11" t="s">
        <v>39</v>
      </c>
      <c r="U3" s="11" t="s">
        <v>39</v>
      </c>
      <c r="V3" s="11" t="s">
        <v>773</v>
      </c>
      <c r="W3" s="11" t="s">
        <v>39</v>
      </c>
      <c r="X3" s="11" t="s">
        <v>39</v>
      </c>
      <c r="Y3" s="11" t="s">
        <v>39</v>
      </c>
      <c r="Z3" s="11" t="s">
        <v>39</v>
      </c>
      <c r="AA3" s="11" t="s">
        <v>39</v>
      </c>
      <c r="AB3" s="11" t="s">
        <v>39</v>
      </c>
      <c r="AC3" s="11" t="s">
        <v>37</v>
      </c>
      <c r="AD3" s="11" t="s">
        <v>38</v>
      </c>
      <c r="AE3" s="11" t="s">
        <v>39</v>
      </c>
      <c r="AF3" s="11" t="s">
        <v>39</v>
      </c>
      <c r="AG3" s="11" t="s">
        <v>39</v>
      </c>
      <c r="AH3" s="11" t="s">
        <v>785</v>
      </c>
      <c r="AI3" s="11" t="s">
        <v>790</v>
      </c>
      <c r="AJ3" s="11" t="s">
        <v>795</v>
      </c>
      <c r="AK3" s="11" t="s">
        <v>39</v>
      </c>
      <c r="AL3" s="11" t="s">
        <v>39</v>
      </c>
      <c r="AM3" s="11" t="s">
        <v>39</v>
      </c>
      <c r="AN3" s="11" t="s">
        <v>39</v>
      </c>
      <c r="AO3" s="11" t="s">
        <v>802</v>
      </c>
      <c r="AP3" s="11" t="s">
        <v>39</v>
      </c>
      <c r="AQ3" s="11">
        <v>2</v>
      </c>
      <c r="AR3" s="11" t="s">
        <v>39</v>
      </c>
      <c r="AS3" s="11" t="s">
        <v>805</v>
      </c>
      <c r="AT3" s="11" t="s">
        <v>39</v>
      </c>
      <c r="AU3" s="11" t="s">
        <v>39</v>
      </c>
      <c r="AV3" s="11" t="s">
        <v>39</v>
      </c>
      <c r="AW3" s="11" t="s">
        <v>38</v>
      </c>
      <c r="AX3" s="11" t="s">
        <v>808</v>
      </c>
      <c r="AY3" s="12">
        <v>230</v>
      </c>
      <c r="AZ3" s="12">
        <v>230</v>
      </c>
      <c r="BA3" s="13">
        <v>1.15</v>
      </c>
      <c r="BB3" s="13" t="s">
        <v>39</v>
      </c>
      <c r="BC3" s="13" t="s">
        <v>39</v>
      </c>
      <c r="BD3" s="13" t="s">
        <v>39</v>
      </c>
      <c r="BE3" s="13" t="s">
        <v>39</v>
      </c>
      <c r="BF3" s="13" t="s">
        <v>39</v>
      </c>
      <c r="BG3" s="13" t="s">
        <v>815</v>
      </c>
      <c r="BH3" s="11" t="s">
        <v>39</v>
      </c>
      <c r="BI3" s="11" t="s">
        <v>39</v>
      </c>
      <c r="BJ3" s="11" t="s">
        <v>39</v>
      </c>
      <c r="BK3" s="11" t="s">
        <v>39</v>
      </c>
      <c r="BL3" s="11" t="s">
        <v>39</v>
      </c>
    </row>
    <row r="4" spans="1:63" ht="12.75">
      <c r="A4" s="11" t="s">
        <v>40</v>
      </c>
      <c r="B4" s="11" t="s">
        <v>41</v>
      </c>
      <c r="C4" s="11" t="s">
        <v>530</v>
      </c>
      <c r="D4" s="14" t="s">
        <v>42</v>
      </c>
      <c r="E4" s="11" t="s">
        <v>43</v>
      </c>
      <c r="F4" s="83" t="s">
        <v>1299</v>
      </c>
      <c r="G4" s="11"/>
      <c r="H4" s="11"/>
      <c r="I4" s="11"/>
      <c r="J4" s="11"/>
      <c r="K4" s="11"/>
      <c r="L4" s="11" t="s">
        <v>753</v>
      </c>
      <c r="M4" s="11"/>
      <c r="N4" s="11" t="s">
        <v>758</v>
      </c>
      <c r="O4" s="11" t="s">
        <v>762</v>
      </c>
      <c r="P4" s="11"/>
      <c r="Q4" s="11"/>
      <c r="R4" s="11"/>
      <c r="S4" s="11"/>
      <c r="T4" s="11" t="s">
        <v>758</v>
      </c>
      <c r="U4" s="11"/>
      <c r="V4" s="11"/>
      <c r="W4" s="11"/>
      <c r="X4" s="11"/>
      <c r="Y4" s="11"/>
      <c r="Z4" s="11"/>
      <c r="AA4" s="11"/>
      <c r="AB4" s="11"/>
      <c r="AC4" s="11"/>
      <c r="AD4" s="11"/>
      <c r="AE4" s="11"/>
      <c r="AF4" s="11"/>
      <c r="AG4" s="11"/>
      <c r="AH4" s="11" t="s">
        <v>786</v>
      </c>
      <c r="AI4" s="11" t="s">
        <v>791</v>
      </c>
      <c r="AJ4" s="11"/>
      <c r="AK4" s="11"/>
      <c r="AL4" s="11"/>
      <c r="AM4" s="11"/>
      <c r="AN4" s="11"/>
      <c r="AO4" s="11"/>
      <c r="AP4" s="11"/>
      <c r="AQ4" s="11"/>
      <c r="AR4" s="11"/>
      <c r="AS4" s="11" t="s">
        <v>792</v>
      </c>
      <c r="AT4" s="11"/>
      <c r="AU4" s="11"/>
      <c r="AV4" s="11"/>
      <c r="AW4" s="11"/>
      <c r="AX4" s="11"/>
      <c r="AY4" s="12">
        <v>208</v>
      </c>
      <c r="AZ4" s="12">
        <v>208</v>
      </c>
      <c r="BA4" s="13">
        <v>1.25</v>
      </c>
      <c r="BB4" s="13"/>
      <c r="BC4" s="13"/>
      <c r="BD4" s="13"/>
      <c r="BE4" s="13"/>
      <c r="BF4" s="13"/>
      <c r="BG4" s="13" t="s">
        <v>816</v>
      </c>
      <c r="BH4" s="14" t="s">
        <v>820</v>
      </c>
      <c r="BI4" s="11"/>
      <c r="BJ4" s="11"/>
      <c r="BK4" s="11"/>
    </row>
    <row r="5" spans="1:63" ht="12.75">
      <c r="A5" s="11" t="s">
        <v>44</v>
      </c>
      <c r="B5" s="11" t="s">
        <v>45</v>
      </c>
      <c r="C5" s="11" t="s">
        <v>531</v>
      </c>
      <c r="D5" s="14" t="s">
        <v>46</v>
      </c>
      <c r="E5" s="11" t="s">
        <v>47</v>
      </c>
      <c r="F5" s="83" t="s">
        <v>1300</v>
      </c>
      <c r="G5" s="11"/>
      <c r="H5" s="11"/>
      <c r="I5" s="11"/>
      <c r="J5" s="11"/>
      <c r="K5" s="11"/>
      <c r="L5" s="11" t="s">
        <v>754</v>
      </c>
      <c r="M5" s="11"/>
      <c r="N5" s="11"/>
      <c r="O5" s="11"/>
      <c r="P5" s="11"/>
      <c r="Q5" s="11"/>
      <c r="R5" s="11"/>
      <c r="S5" s="11"/>
      <c r="T5" s="11"/>
      <c r="U5" s="11"/>
      <c r="V5" s="11"/>
      <c r="W5" s="11"/>
      <c r="X5" s="11"/>
      <c r="Y5" s="11"/>
      <c r="Z5" s="11"/>
      <c r="AA5" s="11"/>
      <c r="AB5" s="11"/>
      <c r="AC5" s="11"/>
      <c r="AD5" s="11"/>
      <c r="AE5" s="11"/>
      <c r="AF5" s="11"/>
      <c r="AG5" s="11"/>
      <c r="AH5" s="11" t="s">
        <v>787</v>
      </c>
      <c r="AI5" s="11" t="s">
        <v>792</v>
      </c>
      <c r="AJ5" s="11"/>
      <c r="AK5" s="11"/>
      <c r="AL5" s="11"/>
      <c r="AM5" s="11"/>
      <c r="AN5" s="11"/>
      <c r="AO5" s="11"/>
      <c r="AP5" s="11"/>
      <c r="AQ5" s="11"/>
      <c r="AR5" s="11"/>
      <c r="AS5" s="11"/>
      <c r="AT5" s="11"/>
      <c r="AU5" s="11"/>
      <c r="AV5" s="11"/>
      <c r="AW5" s="11"/>
      <c r="AX5" s="11"/>
      <c r="AY5" s="12" t="s">
        <v>809</v>
      </c>
      <c r="AZ5" s="12" t="s">
        <v>809</v>
      </c>
      <c r="BA5" s="13"/>
      <c r="BB5" s="13"/>
      <c r="BC5" s="13"/>
      <c r="BD5" s="13"/>
      <c r="BE5" s="13"/>
      <c r="BF5" s="13"/>
      <c r="BG5" s="13" t="s">
        <v>817</v>
      </c>
      <c r="BH5" s="11"/>
      <c r="BI5" s="11"/>
      <c r="BJ5" s="11"/>
      <c r="BK5" s="11"/>
    </row>
    <row r="6" spans="1:63" ht="12.75">
      <c r="A6" s="11" t="s">
        <v>48</v>
      </c>
      <c r="B6" s="11" t="s">
        <v>49</v>
      </c>
      <c r="C6" s="11" t="s">
        <v>532</v>
      </c>
      <c r="D6" s="14" t="s">
        <v>50</v>
      </c>
      <c r="E6" s="11" t="s">
        <v>51</v>
      </c>
      <c r="F6" s="11"/>
      <c r="G6" s="11"/>
      <c r="H6" s="11"/>
      <c r="I6" s="11"/>
      <c r="J6" s="11"/>
      <c r="K6" s="11"/>
      <c r="L6" s="11" t="s">
        <v>755</v>
      </c>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2" t="s">
        <v>810</v>
      </c>
      <c r="AZ6" s="12" t="s">
        <v>810</v>
      </c>
      <c r="BA6" s="13"/>
      <c r="BB6" s="13"/>
      <c r="BC6" s="13"/>
      <c r="BD6" s="13"/>
      <c r="BE6" s="13"/>
      <c r="BF6" s="13"/>
      <c r="BG6" s="11"/>
      <c r="BH6" s="11"/>
      <c r="BI6" s="11"/>
      <c r="BJ6" s="11"/>
      <c r="BK6" s="11"/>
    </row>
    <row r="7" spans="1:63" ht="12.75">
      <c r="A7" s="11" t="s">
        <v>52</v>
      </c>
      <c r="B7" s="11" t="s">
        <v>53</v>
      </c>
      <c r="C7" s="11" t="s">
        <v>533</v>
      </c>
      <c r="D7" s="14" t="s">
        <v>54</v>
      </c>
      <c r="E7" s="11" t="s">
        <v>55</v>
      </c>
      <c r="F7" s="11"/>
      <c r="G7" s="11"/>
      <c r="H7" s="11"/>
      <c r="I7" s="11"/>
      <c r="J7" s="11"/>
      <c r="K7" s="11"/>
      <c r="L7" s="11" t="s">
        <v>756</v>
      </c>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2" t="s">
        <v>811</v>
      </c>
      <c r="AZ7" s="12" t="s">
        <v>811</v>
      </c>
      <c r="BA7" s="13"/>
      <c r="BB7" s="13"/>
      <c r="BC7" s="13"/>
      <c r="BD7" s="13"/>
      <c r="BE7" s="13"/>
      <c r="BF7" s="13"/>
      <c r="BG7" s="11"/>
      <c r="BH7" s="11"/>
      <c r="BI7" s="11"/>
      <c r="BJ7" s="11"/>
      <c r="BK7" s="11"/>
    </row>
    <row r="8" spans="1:63" ht="12.75">
      <c r="A8" s="11" t="s">
        <v>56</v>
      </c>
      <c r="B8" s="11" t="s">
        <v>57</v>
      </c>
      <c r="C8" s="11" t="s">
        <v>534</v>
      </c>
      <c r="D8" s="14" t="s">
        <v>58</v>
      </c>
      <c r="E8" s="11" t="s">
        <v>59</v>
      </c>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2">
        <v>460</v>
      </c>
      <c r="AZ8" s="12">
        <v>460</v>
      </c>
      <c r="BA8" s="13"/>
      <c r="BB8" s="13"/>
      <c r="BC8" s="13"/>
      <c r="BD8" s="13"/>
      <c r="BE8" s="13"/>
      <c r="BF8" s="13"/>
      <c r="BG8" s="11"/>
      <c r="BH8" s="11"/>
      <c r="BI8" s="11"/>
      <c r="BJ8" s="11"/>
      <c r="BK8" s="11"/>
    </row>
    <row r="9" spans="1:63" ht="12.75">
      <c r="A9" s="11" t="s">
        <v>60</v>
      </c>
      <c r="B9" s="11" t="s">
        <v>61</v>
      </c>
      <c r="C9" s="11" t="s">
        <v>535</v>
      </c>
      <c r="D9" s="14" t="s">
        <v>62</v>
      </c>
      <c r="E9" s="11" t="s">
        <v>63</v>
      </c>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2" t="s">
        <v>812</v>
      </c>
      <c r="AZ9" s="12" t="s">
        <v>812</v>
      </c>
      <c r="BA9" s="13"/>
      <c r="BB9" s="13"/>
      <c r="BC9" s="13"/>
      <c r="BD9" s="13"/>
      <c r="BE9" s="13"/>
      <c r="BF9" s="13"/>
      <c r="BG9" s="11"/>
      <c r="BH9" s="11"/>
      <c r="BI9" s="11"/>
      <c r="BJ9" s="11"/>
      <c r="BK9" s="11"/>
    </row>
    <row r="10" spans="1:63" ht="12.75">
      <c r="A10" s="11" t="s">
        <v>64</v>
      </c>
      <c r="B10" s="11" t="s">
        <v>65</v>
      </c>
      <c r="C10" s="11" t="s">
        <v>536</v>
      </c>
      <c r="D10" s="14" t="s">
        <v>66</v>
      </c>
      <c r="E10" s="11" t="s">
        <v>67</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5" t="s">
        <v>813</v>
      </c>
      <c r="AZ10" s="15" t="s">
        <v>813</v>
      </c>
      <c r="BA10" s="13"/>
      <c r="BB10" s="13"/>
      <c r="BC10" s="13"/>
      <c r="BD10" s="13"/>
      <c r="BE10" s="13"/>
      <c r="BF10" s="13"/>
      <c r="BG10" s="11"/>
      <c r="BH10" s="11"/>
      <c r="BI10" s="11"/>
      <c r="BJ10" s="11"/>
      <c r="BK10" s="11"/>
    </row>
    <row r="11" spans="1:63" ht="12.75">
      <c r="A11" s="11" t="s">
        <v>68</v>
      </c>
      <c r="B11" s="11" t="s">
        <v>69</v>
      </c>
      <c r="C11" s="11" t="s">
        <v>537</v>
      </c>
      <c r="D11" s="14" t="s">
        <v>70</v>
      </c>
      <c r="E11" s="11" t="s">
        <v>71</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5" t="s">
        <v>814</v>
      </c>
      <c r="AZ11" s="15" t="s">
        <v>814</v>
      </c>
      <c r="BA11" s="13"/>
      <c r="BB11" s="13"/>
      <c r="BC11" s="13"/>
      <c r="BD11" s="13"/>
      <c r="BE11" s="13"/>
      <c r="BF11" s="13"/>
      <c r="BG11" s="11"/>
      <c r="BH11" s="11"/>
      <c r="BI11" s="11"/>
      <c r="BJ11" s="11"/>
      <c r="BK11" s="11"/>
    </row>
    <row r="12" spans="1:63" ht="12.75">
      <c r="A12" s="11" t="s">
        <v>72</v>
      </c>
      <c r="B12" s="11" t="s">
        <v>73</v>
      </c>
      <c r="C12" s="11" t="s">
        <v>538</v>
      </c>
      <c r="D12" s="14" t="s">
        <v>74</v>
      </c>
      <c r="E12" s="11" t="s">
        <v>75</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3"/>
      <c r="BB12" s="13"/>
      <c r="BC12" s="13"/>
      <c r="BD12" s="13"/>
      <c r="BE12" s="13"/>
      <c r="BF12" s="13"/>
      <c r="BG12" s="11"/>
      <c r="BH12" s="11"/>
      <c r="BI12" s="11"/>
      <c r="BJ12" s="11"/>
      <c r="BK12" s="11"/>
    </row>
    <row r="13" spans="1:63" ht="12.75">
      <c r="A13" s="11" t="s">
        <v>76</v>
      </c>
      <c r="B13" s="11" t="s">
        <v>77</v>
      </c>
      <c r="C13" s="11" t="s">
        <v>539</v>
      </c>
      <c r="D13" s="14" t="s">
        <v>78</v>
      </c>
      <c r="E13" s="11" t="s">
        <v>79</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row>
    <row r="14" spans="1:63" ht="12.75">
      <c r="A14" s="11" t="s">
        <v>80</v>
      </c>
      <c r="B14" s="11" t="s">
        <v>81</v>
      </c>
      <c r="C14" s="11" t="s">
        <v>540</v>
      </c>
      <c r="D14" s="14" t="s">
        <v>82</v>
      </c>
      <c r="E14" s="11" t="s">
        <v>83</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row>
    <row r="15" spans="1:63" ht="12.75">
      <c r="A15" s="11" t="s">
        <v>84</v>
      </c>
      <c r="B15" s="11" t="s">
        <v>85</v>
      </c>
      <c r="C15" s="11" t="s">
        <v>541</v>
      </c>
      <c r="D15" s="14" t="s">
        <v>86</v>
      </c>
      <c r="E15" s="11" t="s">
        <v>87</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row>
    <row r="16" spans="1:63" ht="12.75">
      <c r="A16" s="11" t="s">
        <v>89</v>
      </c>
      <c r="B16" s="11" t="s">
        <v>90</v>
      </c>
      <c r="C16" s="11" t="s">
        <v>542</v>
      </c>
      <c r="D16" s="14" t="s">
        <v>91</v>
      </c>
      <c r="E16" s="11" t="s">
        <v>92</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row>
    <row r="17" spans="1:63" ht="12.75">
      <c r="A17" s="11" t="s">
        <v>94</v>
      </c>
      <c r="B17" s="11" t="s">
        <v>95</v>
      </c>
      <c r="C17" s="11" t="s">
        <v>543</v>
      </c>
      <c r="D17" s="14" t="s">
        <v>96</v>
      </c>
      <c r="E17" s="11" t="s">
        <v>97</v>
      </c>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row>
    <row r="18" spans="1:63" ht="12.75">
      <c r="A18" s="11" t="s">
        <v>98</v>
      </c>
      <c r="B18" s="11" t="s">
        <v>99</v>
      </c>
      <c r="C18" s="11" t="s">
        <v>544</v>
      </c>
      <c r="D18" s="14" t="s">
        <v>100</v>
      </c>
      <c r="E18" s="11" t="s">
        <v>101</v>
      </c>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row>
    <row r="19" spans="1:63" ht="12.75">
      <c r="A19" s="11" t="s">
        <v>102</v>
      </c>
      <c r="B19" s="11" t="s">
        <v>103</v>
      </c>
      <c r="C19" s="11" t="s">
        <v>545</v>
      </c>
      <c r="D19" s="14" t="s">
        <v>104</v>
      </c>
      <c r="E19" s="11" t="s">
        <v>105</v>
      </c>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row>
    <row r="20" spans="1:63" ht="12.75">
      <c r="A20" s="11" t="s">
        <v>106</v>
      </c>
      <c r="B20" s="11" t="s">
        <v>107</v>
      </c>
      <c r="C20" s="11" t="s">
        <v>546</v>
      </c>
      <c r="D20" s="14" t="s">
        <v>108</v>
      </c>
      <c r="E20" s="11" t="s">
        <v>109</v>
      </c>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row>
    <row r="21" spans="1:63" ht="12.75">
      <c r="A21" s="11" t="s">
        <v>110</v>
      </c>
      <c r="B21" s="11" t="s">
        <v>111</v>
      </c>
      <c r="C21" s="11" t="s">
        <v>547</v>
      </c>
      <c r="D21" s="14" t="s">
        <v>112</v>
      </c>
      <c r="E21" s="11" t="s">
        <v>113</v>
      </c>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row>
    <row r="22" spans="1:63" ht="12.75">
      <c r="A22" s="11" t="s">
        <v>115</v>
      </c>
      <c r="B22" s="11" t="s">
        <v>116</v>
      </c>
      <c r="C22" s="11" t="s">
        <v>548</v>
      </c>
      <c r="D22" s="14" t="s">
        <v>117</v>
      </c>
      <c r="E22" s="11" t="s">
        <v>118</v>
      </c>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row>
    <row r="23" spans="1:63" ht="12.75">
      <c r="A23" s="11" t="s">
        <v>120</v>
      </c>
      <c r="B23" s="11" t="s">
        <v>121</v>
      </c>
      <c r="C23" s="11" t="s">
        <v>549</v>
      </c>
      <c r="D23" s="14" t="s">
        <v>122</v>
      </c>
      <c r="E23" s="11" t="s">
        <v>123</v>
      </c>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row>
    <row r="24" spans="1:63" ht="12.75">
      <c r="A24" s="11" t="s">
        <v>124</v>
      </c>
      <c r="B24" s="11" t="s">
        <v>125</v>
      </c>
      <c r="C24" s="11" t="s">
        <v>550</v>
      </c>
      <c r="D24" s="14" t="s">
        <v>126</v>
      </c>
      <c r="E24" s="11" t="s">
        <v>127</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row>
    <row r="25" spans="1:63" ht="12.75">
      <c r="A25" s="11" t="s">
        <v>129</v>
      </c>
      <c r="B25" s="11" t="s">
        <v>130</v>
      </c>
      <c r="C25" s="11" t="s">
        <v>551</v>
      </c>
      <c r="D25" s="14" t="s">
        <v>131</v>
      </c>
      <c r="E25" s="11" t="s">
        <v>132</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row>
    <row r="26" spans="1:63" ht="12.75">
      <c r="A26" s="11" t="s">
        <v>134</v>
      </c>
      <c r="B26" s="11" t="s">
        <v>135</v>
      </c>
      <c r="C26" s="11" t="s">
        <v>552</v>
      </c>
      <c r="D26" s="14" t="s">
        <v>136</v>
      </c>
      <c r="E26" s="11" t="s">
        <v>137</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row>
    <row r="27" spans="1:63" ht="12.75">
      <c r="A27" s="11" t="s">
        <v>138</v>
      </c>
      <c r="B27" s="11" t="s">
        <v>139</v>
      </c>
      <c r="C27" s="11" t="s">
        <v>553</v>
      </c>
      <c r="D27" s="14" t="s">
        <v>140</v>
      </c>
      <c r="E27" s="11" t="s">
        <v>141</v>
      </c>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row>
    <row r="28" spans="1:63" ht="12.75">
      <c r="A28" s="11" t="s">
        <v>142</v>
      </c>
      <c r="B28" s="11" t="s">
        <v>143</v>
      </c>
      <c r="C28" s="11" t="s">
        <v>554</v>
      </c>
      <c r="D28" s="14" t="s">
        <v>144</v>
      </c>
      <c r="E28" s="11" t="s">
        <v>145</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row>
    <row r="29" spans="1:63" ht="12.75">
      <c r="A29" s="11" t="s">
        <v>146</v>
      </c>
      <c r="B29" s="11" t="s">
        <v>147</v>
      </c>
      <c r="C29" s="11" t="s">
        <v>555</v>
      </c>
      <c r="D29" s="14" t="s">
        <v>148</v>
      </c>
      <c r="E29" s="11" t="s">
        <v>149</v>
      </c>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row>
    <row r="30" spans="1:63" ht="12.75">
      <c r="A30" s="11" t="s">
        <v>150</v>
      </c>
      <c r="B30" s="11" t="s">
        <v>151</v>
      </c>
      <c r="C30" s="11" t="s">
        <v>556</v>
      </c>
      <c r="D30" s="14" t="s">
        <v>152</v>
      </c>
      <c r="E30" s="11" t="s">
        <v>153</v>
      </c>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row>
    <row r="31" spans="1:63" ht="12.75">
      <c r="A31" s="11" t="s">
        <v>155</v>
      </c>
      <c r="B31" s="11" t="s">
        <v>1308</v>
      </c>
      <c r="C31" s="11" t="s">
        <v>557</v>
      </c>
      <c r="D31" s="14"/>
      <c r="E31" s="11" t="s">
        <v>156</v>
      </c>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row>
    <row r="32" spans="1:63" ht="12.75">
      <c r="A32" s="11" t="s">
        <v>157</v>
      </c>
      <c r="B32" s="11"/>
      <c r="C32" s="11" t="s">
        <v>558</v>
      </c>
      <c r="D32" s="11"/>
      <c r="E32" s="11" t="s">
        <v>158</v>
      </c>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row>
    <row r="33" spans="1:63" ht="12.75">
      <c r="A33" s="11" t="s">
        <v>159</v>
      </c>
      <c r="B33" s="11"/>
      <c r="C33" s="11" t="s">
        <v>559</v>
      </c>
      <c r="D33" s="11"/>
      <c r="E33" s="11" t="s">
        <v>160</v>
      </c>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row>
    <row r="34" spans="1:63" ht="12.75">
      <c r="A34" s="11" t="s">
        <v>161</v>
      </c>
      <c r="B34" s="11"/>
      <c r="C34" s="11" t="s">
        <v>560</v>
      </c>
      <c r="D34" s="11"/>
      <c r="E34" s="11" t="s">
        <v>162</v>
      </c>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row>
    <row r="35" spans="1:63" ht="12.75">
      <c r="A35" s="11" t="s">
        <v>163</v>
      </c>
      <c r="B35" s="11"/>
      <c r="C35" s="11" t="s">
        <v>561</v>
      </c>
      <c r="D35" s="11"/>
      <c r="E35" s="11" t="s">
        <v>164</v>
      </c>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row>
    <row r="36" spans="1:63" ht="12.75">
      <c r="A36" s="11" t="s">
        <v>165</v>
      </c>
      <c r="B36" s="11"/>
      <c r="C36" s="11" t="s">
        <v>562</v>
      </c>
      <c r="D36" s="11"/>
      <c r="E36" s="11" t="s">
        <v>166</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row>
    <row r="37" spans="1:63" ht="12.75">
      <c r="A37" s="11" t="s">
        <v>167</v>
      </c>
      <c r="B37" s="11"/>
      <c r="C37" s="11" t="s">
        <v>563</v>
      </c>
      <c r="D37" s="11"/>
      <c r="E37" s="11" t="s">
        <v>168</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row>
    <row r="38" spans="1:63" ht="12.75">
      <c r="A38" s="11" t="s">
        <v>169</v>
      </c>
      <c r="B38" s="11"/>
      <c r="C38" s="11" t="s">
        <v>564</v>
      </c>
      <c r="D38" s="11"/>
      <c r="E38" s="11" t="s">
        <v>170</v>
      </c>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row>
    <row r="39" spans="1:63" ht="12.75">
      <c r="A39" s="11" t="s">
        <v>171</v>
      </c>
      <c r="B39" s="11"/>
      <c r="C39" s="11" t="s">
        <v>565</v>
      </c>
      <c r="D39" s="11"/>
      <c r="E39" s="11" t="s">
        <v>172</v>
      </c>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row>
    <row r="40" spans="1:63" ht="12.75">
      <c r="A40" s="11" t="s">
        <v>173</v>
      </c>
      <c r="B40" s="11"/>
      <c r="C40" s="11" t="s">
        <v>566</v>
      </c>
      <c r="D40" s="11"/>
      <c r="E40" s="11" t="s">
        <v>174</v>
      </c>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row>
    <row r="41" spans="1:63" ht="12.75">
      <c r="A41" s="11" t="s">
        <v>175</v>
      </c>
      <c r="B41" s="11"/>
      <c r="C41" s="11" t="s">
        <v>567</v>
      </c>
      <c r="D41" s="11"/>
      <c r="E41" s="11" t="s">
        <v>176</v>
      </c>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row>
    <row r="42" spans="1:63" ht="12.75">
      <c r="A42" s="11" t="s">
        <v>177</v>
      </c>
      <c r="B42" s="11"/>
      <c r="C42" s="11" t="s">
        <v>568</v>
      </c>
      <c r="D42" s="11"/>
      <c r="E42" s="11" t="s">
        <v>178</v>
      </c>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row>
    <row r="43" spans="1:63" ht="12.75">
      <c r="A43" s="11" t="s">
        <v>179</v>
      </c>
      <c r="B43" s="11"/>
      <c r="C43" s="11" t="s">
        <v>569</v>
      </c>
      <c r="D43" s="11"/>
      <c r="E43" s="11" t="s">
        <v>180</v>
      </c>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row>
    <row r="44" spans="1:63" ht="12.75">
      <c r="A44" s="11" t="s">
        <v>181</v>
      </c>
      <c r="B44" s="11"/>
      <c r="C44" s="11" t="s">
        <v>570</v>
      </c>
      <c r="D44" s="11"/>
      <c r="E44" s="11" t="s">
        <v>182</v>
      </c>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row>
    <row r="45" spans="1:63" ht="12.75">
      <c r="A45" s="11" t="s">
        <v>183</v>
      </c>
      <c r="B45" s="11"/>
      <c r="C45" s="11" t="s">
        <v>571</v>
      </c>
      <c r="D45" s="11"/>
      <c r="E45" s="11" t="s">
        <v>184</v>
      </c>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row>
    <row r="46" spans="1:63" ht="12.75">
      <c r="A46" s="11" t="s">
        <v>185</v>
      </c>
      <c r="B46" s="11"/>
      <c r="C46" s="11" t="s">
        <v>572</v>
      </c>
      <c r="D46" s="11"/>
      <c r="E46" s="11" t="s">
        <v>186</v>
      </c>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row>
    <row r="47" spans="1:63" ht="12.75">
      <c r="A47" s="11" t="s">
        <v>187</v>
      </c>
      <c r="B47" s="11"/>
      <c r="C47" s="11" t="s">
        <v>573</v>
      </c>
      <c r="D47" s="11"/>
      <c r="E47" s="11" t="s">
        <v>188</v>
      </c>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row>
    <row r="48" spans="1:63" ht="12.75">
      <c r="A48" s="11" t="s">
        <v>189</v>
      </c>
      <c r="B48" s="11"/>
      <c r="C48" s="11" t="s">
        <v>574</v>
      </c>
      <c r="D48" s="11"/>
      <c r="E48" s="11" t="s">
        <v>190</v>
      </c>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row>
    <row r="49" spans="1:63" ht="12.75">
      <c r="A49" s="11" t="s">
        <v>191</v>
      </c>
      <c r="B49" s="11"/>
      <c r="C49" s="11" t="s">
        <v>575</v>
      </c>
      <c r="D49" s="11"/>
      <c r="E49" s="11" t="s">
        <v>192</v>
      </c>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row>
    <row r="50" spans="1:63" ht="12.75">
      <c r="A50" s="11" t="s">
        <v>193</v>
      </c>
      <c r="B50" s="11"/>
      <c r="C50" s="11" t="s">
        <v>576</v>
      </c>
      <c r="D50" s="11"/>
      <c r="E50" s="11" t="s">
        <v>194</v>
      </c>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row>
    <row r="51" spans="1:63" ht="12.75">
      <c r="A51" s="11" t="s">
        <v>195</v>
      </c>
      <c r="B51" s="11"/>
      <c r="C51" s="11" t="s">
        <v>577</v>
      </c>
      <c r="D51" s="11"/>
      <c r="E51" s="11" t="s">
        <v>196</v>
      </c>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row>
    <row r="52" spans="1:63" ht="12.75">
      <c r="A52" s="11" t="s">
        <v>197</v>
      </c>
      <c r="B52" s="11"/>
      <c r="C52" s="11" t="s">
        <v>578</v>
      </c>
      <c r="D52" s="11"/>
      <c r="E52" s="11" t="s">
        <v>198</v>
      </c>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row>
    <row r="53" spans="1:63" ht="12.75">
      <c r="A53" s="11" t="s">
        <v>199</v>
      </c>
      <c r="B53" s="11"/>
      <c r="C53" s="11" t="s">
        <v>579</v>
      </c>
      <c r="D53" s="11"/>
      <c r="E53" s="11" t="s">
        <v>200</v>
      </c>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row>
    <row r="54" spans="1:63" ht="12.75">
      <c r="A54" s="11" t="s">
        <v>201</v>
      </c>
      <c r="B54" s="11"/>
      <c r="C54" s="11" t="s">
        <v>580</v>
      </c>
      <c r="D54" s="11"/>
      <c r="E54" s="11" t="s">
        <v>202</v>
      </c>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row>
    <row r="55" spans="1:63" ht="12.75">
      <c r="A55" s="11" t="s">
        <v>203</v>
      </c>
      <c r="B55" s="11"/>
      <c r="C55" s="11" t="s">
        <v>581</v>
      </c>
      <c r="D55" s="11"/>
      <c r="E55" s="11" t="s">
        <v>204</v>
      </c>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row>
    <row r="56" spans="1:63" ht="12.75">
      <c r="A56" s="11" t="s">
        <v>205</v>
      </c>
      <c r="B56" s="11"/>
      <c r="C56" s="11" t="s">
        <v>582</v>
      </c>
      <c r="D56" s="11"/>
      <c r="E56" s="11" t="s">
        <v>206</v>
      </c>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row>
    <row r="57" spans="1:63" ht="12.75">
      <c r="A57" s="11" t="s">
        <v>207</v>
      </c>
      <c r="B57" s="11"/>
      <c r="C57" s="11" t="s">
        <v>583</v>
      </c>
      <c r="D57" s="11"/>
      <c r="E57" s="11" t="s">
        <v>208</v>
      </c>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row>
    <row r="58" spans="1:63" ht="12.75">
      <c r="A58" s="11" t="s">
        <v>209</v>
      </c>
      <c r="B58" s="11"/>
      <c r="C58" s="11" t="s">
        <v>584</v>
      </c>
      <c r="D58" s="11"/>
      <c r="E58" s="11" t="s">
        <v>210</v>
      </c>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row>
    <row r="59" spans="1:63" ht="12.75">
      <c r="A59" s="11" t="s">
        <v>211</v>
      </c>
      <c r="B59" s="11"/>
      <c r="C59" s="11" t="s">
        <v>585</v>
      </c>
      <c r="D59" s="11"/>
      <c r="E59" s="11" t="s">
        <v>212</v>
      </c>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row>
    <row r="60" spans="1:63" ht="12.75">
      <c r="A60" s="11" t="s">
        <v>213</v>
      </c>
      <c r="B60" s="11"/>
      <c r="C60" s="11" t="s">
        <v>586</v>
      </c>
      <c r="D60" s="11"/>
      <c r="E60" s="11" t="s">
        <v>214</v>
      </c>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row>
    <row r="61" spans="1:63" ht="12.75">
      <c r="A61" s="11" t="s">
        <v>215</v>
      </c>
      <c r="B61" s="11"/>
      <c r="C61" s="11" t="s">
        <v>587</v>
      </c>
      <c r="D61" s="11"/>
      <c r="E61" s="11" t="s">
        <v>216</v>
      </c>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row>
    <row r="62" spans="1:63" ht="12.75">
      <c r="A62" s="11" t="s">
        <v>217</v>
      </c>
      <c r="B62" s="11"/>
      <c r="C62" s="11" t="s">
        <v>588</v>
      </c>
      <c r="D62" s="11"/>
      <c r="E62" s="11"/>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row>
    <row r="63" spans="1:63" ht="12.75">
      <c r="A63" s="11" t="s">
        <v>218</v>
      </c>
      <c r="B63" s="11"/>
      <c r="C63" s="11" t="s">
        <v>589</v>
      </c>
      <c r="D63" s="11"/>
      <c r="E63" s="11"/>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row>
    <row r="64" spans="1:63" ht="12.75">
      <c r="A64" s="11" t="s">
        <v>219</v>
      </c>
      <c r="B64" s="11"/>
      <c r="C64" s="11" t="s">
        <v>590</v>
      </c>
      <c r="D64" s="11"/>
      <c r="E64" s="11"/>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row>
    <row r="65" spans="1:63" ht="12.75">
      <c r="A65" s="11" t="s">
        <v>220</v>
      </c>
      <c r="B65" s="11"/>
      <c r="C65" s="11" t="s">
        <v>591</v>
      </c>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row>
    <row r="66" spans="1:63" ht="12.75">
      <c r="A66" s="11" t="s">
        <v>221</v>
      </c>
      <c r="B66" s="11"/>
      <c r="C66" s="11" t="s">
        <v>592</v>
      </c>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row>
    <row r="67" spans="1:63" ht="12.75">
      <c r="A67" s="11" t="s">
        <v>222</v>
      </c>
      <c r="B67" s="11"/>
      <c r="C67" s="11" t="s">
        <v>593</v>
      </c>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row>
    <row r="68" spans="1:63" ht="12.75">
      <c r="A68" s="11" t="s">
        <v>223</v>
      </c>
      <c r="B68" s="11"/>
      <c r="C68" s="11" t="s">
        <v>594</v>
      </c>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row>
    <row r="69" spans="1:63" ht="12.75">
      <c r="A69" s="11" t="s">
        <v>224</v>
      </c>
      <c r="B69" s="11"/>
      <c r="C69" s="11" t="s">
        <v>595</v>
      </c>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row>
    <row r="70" spans="1:63" ht="12.75">
      <c r="A70" s="11" t="s">
        <v>225</v>
      </c>
      <c r="B70" s="11"/>
      <c r="C70" s="11" t="s">
        <v>596</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row>
    <row r="71" spans="1:63" ht="12.75">
      <c r="A71" s="11" t="s">
        <v>226</v>
      </c>
      <c r="B71" s="11"/>
      <c r="C71" s="11" t="s">
        <v>597</v>
      </c>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row>
    <row r="72" spans="1:63" ht="12.75">
      <c r="A72" s="11" t="s">
        <v>227</v>
      </c>
      <c r="B72" s="11"/>
      <c r="C72" s="11" t="s">
        <v>598</v>
      </c>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row>
    <row r="73" spans="1:63" ht="12.75">
      <c r="A73" s="11" t="s">
        <v>228</v>
      </c>
      <c r="B73" s="11"/>
      <c r="C73" s="11" t="s">
        <v>599</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row>
    <row r="74" spans="1:63" ht="12.75">
      <c r="A74" s="11" t="s">
        <v>229</v>
      </c>
      <c r="B74" s="11"/>
      <c r="C74" s="11" t="s">
        <v>600</v>
      </c>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row>
    <row r="75" spans="1:63" ht="12.75">
      <c r="A75" s="11" t="s">
        <v>230</v>
      </c>
      <c r="B75" s="11"/>
      <c r="C75" s="11" t="s">
        <v>601</v>
      </c>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row>
    <row r="76" spans="1:63" ht="12.75">
      <c r="A76" s="11" t="s">
        <v>231</v>
      </c>
      <c r="B76" s="11"/>
      <c r="C76" s="11" t="s">
        <v>602</v>
      </c>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row>
    <row r="77" spans="1:63" ht="12.75">
      <c r="A77" s="11" t="s">
        <v>232</v>
      </c>
      <c r="B77" s="11"/>
      <c r="C77" s="11" t="s">
        <v>603</v>
      </c>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row>
    <row r="78" spans="1:63" ht="12.75">
      <c r="A78" s="11" t="s">
        <v>233</v>
      </c>
      <c r="B78" s="11"/>
      <c r="C78" s="11" t="s">
        <v>604</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row>
    <row r="79" spans="1:63" ht="12.75">
      <c r="A79" s="11" t="s">
        <v>234</v>
      </c>
      <c r="B79" s="11"/>
      <c r="C79" s="11" t="s">
        <v>605</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row>
    <row r="80" spans="1:63" ht="12.75">
      <c r="A80" s="11" t="s">
        <v>235</v>
      </c>
      <c r="B80" s="11"/>
      <c r="C80" s="11" t="s">
        <v>606</v>
      </c>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row>
    <row r="81" spans="1:63" ht="12.75">
      <c r="A81" s="11" t="s">
        <v>236</v>
      </c>
      <c r="B81" s="11"/>
      <c r="C81" s="11" t="s">
        <v>607</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row>
    <row r="82" spans="1:63" ht="12.75">
      <c r="A82" s="11" t="s">
        <v>237</v>
      </c>
      <c r="B82" s="11"/>
      <c r="C82" s="11" t="s">
        <v>608</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row>
    <row r="83" spans="1:63" ht="12.75">
      <c r="A83" s="11" t="s">
        <v>238</v>
      </c>
      <c r="B83" s="11"/>
      <c r="C83" s="11" t="s">
        <v>609</v>
      </c>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row>
    <row r="84" spans="1:63" ht="12.75">
      <c r="A84" s="11" t="s">
        <v>239</v>
      </c>
      <c r="B84" s="11"/>
      <c r="C84" s="11" t="s">
        <v>610</v>
      </c>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row>
    <row r="85" spans="1:63" ht="12.75">
      <c r="A85" s="11" t="s">
        <v>240</v>
      </c>
      <c r="B85" s="11"/>
      <c r="C85" s="11" t="s">
        <v>611</v>
      </c>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row>
    <row r="86" spans="1:63" ht="12.75">
      <c r="A86" s="11" t="s">
        <v>241</v>
      </c>
      <c r="B86" s="11"/>
      <c r="C86" s="11" t="s">
        <v>612</v>
      </c>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row>
    <row r="87" spans="1:63" ht="12.75">
      <c r="A87" s="11" t="s">
        <v>242</v>
      </c>
      <c r="B87" s="11"/>
      <c r="C87" s="11" t="s">
        <v>613</v>
      </c>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row>
    <row r="88" spans="1:63" ht="12.75">
      <c r="A88" s="11" t="s">
        <v>243</v>
      </c>
      <c r="B88" s="11"/>
      <c r="C88" s="11" t="s">
        <v>614</v>
      </c>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row>
    <row r="89" spans="1:63" ht="12.75">
      <c r="A89" s="11" t="s">
        <v>244</v>
      </c>
      <c r="B89" s="11"/>
      <c r="C89" s="11" t="s">
        <v>615</v>
      </c>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row>
    <row r="90" spans="1:63" ht="12.75">
      <c r="A90" s="11" t="s">
        <v>245</v>
      </c>
      <c r="B90" s="11"/>
      <c r="C90" s="11" t="s">
        <v>616</v>
      </c>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row>
    <row r="91" spans="1:63" ht="12.75">
      <c r="A91" s="11" t="s">
        <v>246</v>
      </c>
      <c r="B91" s="11"/>
      <c r="C91" s="11" t="s">
        <v>617</v>
      </c>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row>
    <row r="92" spans="1:63" ht="12.75">
      <c r="A92" s="11" t="s">
        <v>247</v>
      </c>
      <c r="B92" s="11"/>
      <c r="C92" s="11" t="s">
        <v>618</v>
      </c>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row>
    <row r="93" spans="1:63" ht="12.75">
      <c r="A93" s="11" t="s">
        <v>248</v>
      </c>
      <c r="B93" s="11"/>
      <c r="C93" s="11" t="s">
        <v>619</v>
      </c>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row>
    <row r="94" spans="1:63" ht="12.75">
      <c r="A94" s="11" t="s">
        <v>249</v>
      </c>
      <c r="B94" s="11"/>
      <c r="C94" s="11" t="s">
        <v>620</v>
      </c>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row>
    <row r="95" spans="1:63" ht="12.75">
      <c r="A95" s="11" t="s">
        <v>250</v>
      </c>
      <c r="B95" s="11"/>
      <c r="C95" s="11" t="s">
        <v>621</v>
      </c>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row>
    <row r="96" spans="1:63" ht="12.75">
      <c r="A96" s="11" t="s">
        <v>251</v>
      </c>
      <c r="B96" s="11"/>
      <c r="C96" s="11" t="s">
        <v>622</v>
      </c>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row>
    <row r="97" spans="1:63" ht="12.75">
      <c r="A97" s="11" t="s">
        <v>252</v>
      </c>
      <c r="B97" s="11"/>
      <c r="C97" s="11" t="s">
        <v>623</v>
      </c>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row>
    <row r="98" spans="1:63" ht="12.75">
      <c r="A98" s="11" t="s">
        <v>253</v>
      </c>
      <c r="B98" s="11"/>
      <c r="C98" s="11" t="s">
        <v>624</v>
      </c>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row>
    <row r="99" spans="1:63" ht="12.75">
      <c r="A99" s="11" t="s">
        <v>254</v>
      </c>
      <c r="B99" s="11"/>
      <c r="C99" s="11" t="s">
        <v>625</v>
      </c>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row>
    <row r="100" spans="1:63" ht="12.75">
      <c r="A100" s="11" t="s">
        <v>255</v>
      </c>
      <c r="B100" s="11"/>
      <c r="C100" s="11" t="s">
        <v>626</v>
      </c>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row>
    <row r="101" spans="1:63" ht="12.75">
      <c r="A101" s="11" t="s">
        <v>256</v>
      </c>
      <c r="B101" s="11"/>
      <c r="C101" s="11" t="s">
        <v>627</v>
      </c>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row>
    <row r="102" spans="1:63" ht="12.75">
      <c r="A102" s="11" t="s">
        <v>257</v>
      </c>
      <c r="B102" s="11"/>
      <c r="C102" s="11" t="s">
        <v>628</v>
      </c>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row>
    <row r="103" spans="1:63" ht="12.75">
      <c r="A103" s="11" t="s">
        <v>258</v>
      </c>
      <c r="B103" s="11"/>
      <c r="C103" s="11" t="s">
        <v>629</v>
      </c>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row>
    <row r="104" spans="1:63" ht="12.75">
      <c r="A104" s="11" t="s">
        <v>259</v>
      </c>
      <c r="B104" s="11"/>
      <c r="C104" s="11" t="s">
        <v>630</v>
      </c>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row>
    <row r="105" spans="1:63" ht="12.75">
      <c r="A105" s="11" t="s">
        <v>260</v>
      </c>
      <c r="B105" s="11"/>
      <c r="C105" s="11" t="s">
        <v>631</v>
      </c>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row>
    <row r="106" spans="1:63" ht="12.75">
      <c r="A106" s="11" t="s">
        <v>261</v>
      </c>
      <c r="B106" s="11"/>
      <c r="C106" s="11" t="s">
        <v>632</v>
      </c>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row>
    <row r="107" spans="1:63" ht="12.75">
      <c r="A107" s="11" t="s">
        <v>262</v>
      </c>
      <c r="B107" s="11"/>
      <c r="C107" s="11" t="s">
        <v>633</v>
      </c>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row>
    <row r="108" spans="1:63" ht="12.75">
      <c r="A108" s="11" t="s">
        <v>263</v>
      </c>
      <c r="B108" s="11"/>
      <c r="C108" s="11" t="s">
        <v>634</v>
      </c>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row>
    <row r="109" spans="1:63" ht="12.75">
      <c r="A109" s="11" t="s">
        <v>264</v>
      </c>
      <c r="B109" s="11"/>
      <c r="C109" s="11" t="s">
        <v>635</v>
      </c>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row>
    <row r="110" spans="1:63" ht="12.75">
      <c r="A110" s="11" t="s">
        <v>265</v>
      </c>
      <c r="B110" s="11"/>
      <c r="C110" s="11" t="s">
        <v>636</v>
      </c>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row>
    <row r="111" spans="1:63" ht="12.75">
      <c r="A111" s="11" t="s">
        <v>266</v>
      </c>
      <c r="B111" s="11"/>
      <c r="C111" s="11" t="s">
        <v>637</v>
      </c>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row>
    <row r="112" spans="1:63" ht="12.75">
      <c r="A112" s="11" t="s">
        <v>267</v>
      </c>
      <c r="B112" s="11"/>
      <c r="C112" s="11" t="s">
        <v>638</v>
      </c>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row>
    <row r="113" spans="1:63" ht="12.75">
      <c r="A113" s="11" t="s">
        <v>268</v>
      </c>
      <c r="B113" s="11"/>
      <c r="C113" s="11" t="s">
        <v>639</v>
      </c>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row>
    <row r="114" spans="1:63" ht="12.75">
      <c r="A114" s="11" t="s">
        <v>269</v>
      </c>
      <c r="B114" s="11"/>
      <c r="C114" s="11" t="s">
        <v>640</v>
      </c>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row>
    <row r="115" spans="1:63" ht="12.75">
      <c r="A115" s="11" t="s">
        <v>270</v>
      </c>
      <c r="B115" s="11"/>
      <c r="C115" s="11" t="s">
        <v>641</v>
      </c>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row>
    <row r="116" spans="1:63" ht="12.75">
      <c r="A116" s="11" t="s">
        <v>271</v>
      </c>
      <c r="B116" s="11"/>
      <c r="C116" s="11" t="s">
        <v>642</v>
      </c>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row>
    <row r="117" spans="1:63" ht="12.75">
      <c r="A117" s="11" t="s">
        <v>272</v>
      </c>
      <c r="B117" s="11"/>
      <c r="C117" s="11" t="s">
        <v>643</v>
      </c>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row>
    <row r="118" spans="1:63" ht="12.75">
      <c r="A118" s="11" t="s">
        <v>273</v>
      </c>
      <c r="B118" s="11"/>
      <c r="C118" s="11" t="s">
        <v>644</v>
      </c>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row>
    <row r="119" spans="1:63" ht="12.75">
      <c r="A119" s="11" t="s">
        <v>274</v>
      </c>
      <c r="B119" s="11"/>
      <c r="C119" s="11" t="s">
        <v>645</v>
      </c>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row>
    <row r="120" spans="1:63" ht="12.75">
      <c r="A120" s="11" t="s">
        <v>275</v>
      </c>
      <c r="B120" s="11"/>
      <c r="C120" s="11" t="s">
        <v>646</v>
      </c>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row>
    <row r="121" spans="1:63" ht="12.75">
      <c r="A121" s="11" t="s">
        <v>276</v>
      </c>
      <c r="B121" s="11"/>
      <c r="C121" s="11" t="s">
        <v>647</v>
      </c>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row>
    <row r="122" spans="1:63" ht="12.75">
      <c r="A122" s="11" t="s">
        <v>277</v>
      </c>
      <c r="B122" s="11"/>
      <c r="C122" s="11" t="s">
        <v>648</v>
      </c>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row>
    <row r="123" spans="1:63" ht="12.75">
      <c r="A123" s="11" t="s">
        <v>278</v>
      </c>
      <c r="B123" s="11"/>
      <c r="C123" s="11" t="s">
        <v>649</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row>
    <row r="124" spans="1:63" ht="12.75">
      <c r="A124" s="11" t="s">
        <v>279</v>
      </c>
      <c r="B124" s="11"/>
      <c r="C124" s="11" t="s">
        <v>650</v>
      </c>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row>
    <row r="125" spans="1:63" ht="12.75">
      <c r="A125" s="11" t="s">
        <v>280</v>
      </c>
      <c r="B125" s="11"/>
      <c r="C125" s="11" t="s">
        <v>651</v>
      </c>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row>
    <row r="126" spans="1:63" ht="12.75">
      <c r="A126" s="11" t="s">
        <v>281</v>
      </c>
      <c r="B126" s="11"/>
      <c r="C126" s="11" t="s">
        <v>652</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row>
    <row r="127" spans="1:63" ht="12.75">
      <c r="A127" s="11" t="s">
        <v>282</v>
      </c>
      <c r="B127" s="11"/>
      <c r="C127" s="11" t="s">
        <v>653</v>
      </c>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row>
    <row r="128" spans="1:63" ht="12.75">
      <c r="A128" s="11" t="s">
        <v>283</v>
      </c>
      <c r="B128" s="11"/>
      <c r="C128" s="11" t="s">
        <v>654</v>
      </c>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row>
    <row r="129" spans="1:63" ht="12.75">
      <c r="A129" s="11" t="s">
        <v>284</v>
      </c>
      <c r="B129" s="11"/>
      <c r="C129" s="11" t="s">
        <v>655</v>
      </c>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row>
    <row r="130" spans="1:63" ht="12.75">
      <c r="A130" s="11" t="s">
        <v>285</v>
      </c>
      <c r="B130" s="11"/>
      <c r="C130" s="11" t="s">
        <v>656</v>
      </c>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row>
    <row r="131" spans="1:63" ht="12.75">
      <c r="A131" s="11" t="s">
        <v>286</v>
      </c>
      <c r="B131" s="11"/>
      <c r="C131" s="11" t="s">
        <v>657</v>
      </c>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row>
    <row r="132" spans="1:63" ht="12.75">
      <c r="A132" s="11" t="s">
        <v>287</v>
      </c>
      <c r="B132" s="11"/>
      <c r="C132" s="11" t="s">
        <v>658</v>
      </c>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row>
    <row r="133" spans="1:63" ht="12.75">
      <c r="A133" s="11" t="s">
        <v>288</v>
      </c>
      <c r="B133" s="11"/>
      <c r="C133" s="11" t="s">
        <v>659</v>
      </c>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row>
    <row r="134" spans="1:63" ht="12.75">
      <c r="A134" s="11" t="s">
        <v>289</v>
      </c>
      <c r="B134" s="11"/>
      <c r="C134" s="11" t="s">
        <v>660</v>
      </c>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row>
    <row r="135" spans="1:63" ht="12.75">
      <c r="A135" s="11" t="s">
        <v>290</v>
      </c>
      <c r="B135" s="11"/>
      <c r="C135" s="11" t="s">
        <v>661</v>
      </c>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row>
    <row r="136" spans="1:63" ht="12.75">
      <c r="A136" s="11" t="s">
        <v>291</v>
      </c>
      <c r="B136" s="11"/>
      <c r="C136" s="11" t="s">
        <v>662</v>
      </c>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row>
    <row r="137" spans="1:63" ht="12.75">
      <c r="A137" s="11" t="s">
        <v>292</v>
      </c>
      <c r="B137" s="11"/>
      <c r="C137" s="11" t="s">
        <v>663</v>
      </c>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row>
    <row r="138" spans="1:63" ht="12.75">
      <c r="A138" s="11" t="s">
        <v>293</v>
      </c>
      <c r="B138" s="11"/>
      <c r="C138" s="11" t="s">
        <v>664</v>
      </c>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row>
    <row r="139" spans="1:63" ht="12.75">
      <c r="A139" s="11" t="s">
        <v>294</v>
      </c>
      <c r="B139" s="11"/>
      <c r="C139" s="11" t="s">
        <v>665</v>
      </c>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row>
    <row r="140" spans="1:63" ht="12.75">
      <c r="A140" s="11" t="s">
        <v>295</v>
      </c>
      <c r="B140" s="11"/>
      <c r="C140" s="11" t="s">
        <v>666</v>
      </c>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row>
    <row r="141" spans="1:63" ht="12.75">
      <c r="A141" s="11" t="s">
        <v>296</v>
      </c>
      <c r="B141" s="11"/>
      <c r="C141" s="11" t="s">
        <v>667</v>
      </c>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row>
    <row r="142" spans="1:63" ht="12.75">
      <c r="A142" s="11" t="s">
        <v>297</v>
      </c>
      <c r="B142" s="11"/>
      <c r="C142" s="11" t="s">
        <v>668</v>
      </c>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row>
    <row r="143" spans="1:63" ht="12.75">
      <c r="A143" s="11" t="s">
        <v>298</v>
      </c>
      <c r="B143" s="11"/>
      <c r="C143" s="11" t="s">
        <v>669</v>
      </c>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row>
    <row r="144" spans="1:63" ht="12.75">
      <c r="A144" s="11" t="s">
        <v>299</v>
      </c>
      <c r="B144" s="11"/>
      <c r="C144" s="11" t="s">
        <v>670</v>
      </c>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row>
    <row r="145" spans="1:63" ht="12.75">
      <c r="A145" s="11" t="s">
        <v>300</v>
      </c>
      <c r="B145" s="11"/>
      <c r="C145" s="11" t="s">
        <v>671</v>
      </c>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row>
    <row r="146" spans="1:63" ht="12.75">
      <c r="A146" s="11" t="s">
        <v>301</v>
      </c>
      <c r="B146" s="11"/>
      <c r="C146" s="11" t="s">
        <v>672</v>
      </c>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row>
    <row r="147" spans="1:63" ht="12.75">
      <c r="A147" s="11" t="s">
        <v>302</v>
      </c>
      <c r="B147" s="11"/>
      <c r="C147" s="11" t="s">
        <v>673</v>
      </c>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row>
    <row r="148" spans="1:63" ht="12.75">
      <c r="A148" s="11" t="s">
        <v>303</v>
      </c>
      <c r="B148" s="11"/>
      <c r="C148" s="11" t="s">
        <v>674</v>
      </c>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row>
    <row r="149" spans="1:63" ht="12.75">
      <c r="A149" s="11" t="s">
        <v>304</v>
      </c>
      <c r="B149" s="11"/>
      <c r="C149" s="11" t="s">
        <v>675</v>
      </c>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row>
    <row r="150" spans="1:63" ht="12.75">
      <c r="A150" s="11" t="s">
        <v>305</v>
      </c>
      <c r="B150" s="11"/>
      <c r="C150" s="11" t="s">
        <v>676</v>
      </c>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row>
    <row r="151" spans="1:63" ht="12.75">
      <c r="A151" s="11" t="s">
        <v>306</v>
      </c>
      <c r="B151" s="11"/>
      <c r="C151" s="11" t="s">
        <v>677</v>
      </c>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row>
    <row r="152" spans="1:63" ht="12.75">
      <c r="A152" s="11" t="s">
        <v>307</v>
      </c>
      <c r="B152" s="11"/>
      <c r="C152" s="11" t="s">
        <v>678</v>
      </c>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row>
    <row r="153" spans="1:63" ht="12.75">
      <c r="A153" s="11" t="s">
        <v>308</v>
      </c>
      <c r="B153" s="11"/>
      <c r="C153" s="11" t="s">
        <v>679</v>
      </c>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row>
    <row r="154" spans="1:63" ht="12.75">
      <c r="A154" s="11" t="s">
        <v>309</v>
      </c>
      <c r="B154" s="11"/>
      <c r="C154" s="11" t="s">
        <v>680</v>
      </c>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row>
    <row r="155" spans="1:63" ht="12.75">
      <c r="A155" s="11" t="s">
        <v>310</v>
      </c>
      <c r="B155" s="11"/>
      <c r="C155" s="11" t="s">
        <v>681</v>
      </c>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row>
    <row r="156" spans="1:63" ht="12.75">
      <c r="A156" s="11" t="s">
        <v>311</v>
      </c>
      <c r="B156" s="11"/>
      <c r="C156" s="11" t="s">
        <v>682</v>
      </c>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row>
    <row r="157" spans="1:63" ht="12.75">
      <c r="A157" s="11" t="s">
        <v>312</v>
      </c>
      <c r="B157" s="11"/>
      <c r="C157" s="11" t="s">
        <v>683</v>
      </c>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row>
    <row r="158" spans="1:63" ht="12.75">
      <c r="A158" s="11" t="s">
        <v>313</v>
      </c>
      <c r="B158" s="11"/>
      <c r="C158" s="11" t="s">
        <v>684</v>
      </c>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row>
    <row r="159" spans="1:63" ht="12.75">
      <c r="A159" s="11" t="s">
        <v>314</v>
      </c>
      <c r="B159" s="11"/>
      <c r="C159" s="11" t="s">
        <v>685</v>
      </c>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row>
    <row r="160" spans="1:63" ht="12.75">
      <c r="A160" s="11" t="s">
        <v>315</v>
      </c>
      <c r="B160" s="11"/>
      <c r="C160" s="11" t="s">
        <v>686</v>
      </c>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row>
    <row r="161" spans="1:63" ht="12.75">
      <c r="A161" s="11" t="s">
        <v>316</v>
      </c>
      <c r="B161" s="11"/>
      <c r="C161" s="11" t="s">
        <v>687</v>
      </c>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row>
    <row r="162" spans="1:63" ht="12.75">
      <c r="A162" s="11" t="s">
        <v>317</v>
      </c>
      <c r="B162" s="11"/>
      <c r="C162" s="11" t="s">
        <v>688</v>
      </c>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row>
    <row r="163" spans="1:63" ht="12.75">
      <c r="A163" s="11" t="s">
        <v>318</v>
      </c>
      <c r="B163" s="11"/>
      <c r="C163" s="11" t="s">
        <v>689</v>
      </c>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row>
    <row r="164" spans="1:63" ht="12.75">
      <c r="A164" s="11" t="s">
        <v>319</v>
      </c>
      <c r="B164" s="11"/>
      <c r="C164" s="11" t="s">
        <v>690</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row>
    <row r="165" spans="1:63" ht="12.75">
      <c r="A165" s="11" t="s">
        <v>320</v>
      </c>
      <c r="B165" s="11"/>
      <c r="C165" s="11" t="s">
        <v>691</v>
      </c>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row>
    <row r="166" spans="1:63" ht="12.75">
      <c r="A166" s="11" t="s">
        <v>5</v>
      </c>
      <c r="B166" s="11"/>
      <c r="C166" s="11" t="s">
        <v>692</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row>
    <row r="167" spans="1:63" ht="12.75">
      <c r="A167" s="11" t="s">
        <v>321</v>
      </c>
      <c r="B167" s="11"/>
      <c r="C167" s="11" t="s">
        <v>634</v>
      </c>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row>
    <row r="168" spans="1:63" ht="12.75">
      <c r="A168" s="11" t="s">
        <v>322</v>
      </c>
      <c r="B168" s="11"/>
      <c r="C168" s="11" t="s">
        <v>693</v>
      </c>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row>
    <row r="169" spans="1:63" ht="12.75">
      <c r="A169" s="11"/>
      <c r="B169" s="11"/>
      <c r="C169" s="11" t="s">
        <v>694</v>
      </c>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row>
    <row r="170" spans="1:63" ht="12.75">
      <c r="A170" s="11"/>
      <c r="B170" s="11"/>
      <c r="C170" s="11" t="s">
        <v>695</v>
      </c>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row>
    <row r="171" spans="1:63" ht="12.75">
      <c r="A171" s="11"/>
      <c r="B171" s="11"/>
      <c r="C171" s="11" t="s">
        <v>696</v>
      </c>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row>
    <row r="172" spans="1:63" ht="12.75">
      <c r="A172" s="11"/>
      <c r="B172" s="11"/>
      <c r="C172" s="11" t="s">
        <v>697</v>
      </c>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row>
    <row r="173" spans="1:63" ht="12.75">
      <c r="A173" s="11"/>
      <c r="B173" s="11"/>
      <c r="C173" s="11" t="s">
        <v>698</v>
      </c>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row>
    <row r="174" spans="1:63" ht="12.75">
      <c r="A174" s="11"/>
      <c r="B174" s="11"/>
      <c r="C174" s="11" t="s">
        <v>690</v>
      </c>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row>
    <row r="175" spans="1:63" ht="12.75">
      <c r="A175" s="11"/>
      <c r="B175" s="11"/>
      <c r="C175" s="11" t="s">
        <v>699</v>
      </c>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row>
    <row r="176" spans="1:63" ht="12.75">
      <c r="A176" s="11"/>
      <c r="B176" s="11"/>
      <c r="C176" s="11" t="s">
        <v>700</v>
      </c>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row>
    <row r="177" spans="1:63" ht="12.75">
      <c r="A177" s="13"/>
      <c r="B177" s="13"/>
      <c r="C177" s="11" t="s">
        <v>701</v>
      </c>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row>
    <row r="178" spans="1:63" ht="12.75">
      <c r="A178" s="13"/>
      <c r="B178" s="13"/>
      <c r="C178" s="11" t="s">
        <v>702</v>
      </c>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row>
    <row r="179" spans="1:63" ht="12.75">
      <c r="A179" s="13"/>
      <c r="B179" s="13"/>
      <c r="C179" s="11" t="s">
        <v>703</v>
      </c>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row>
    <row r="180" spans="1:63" ht="12.75">
      <c r="A180" s="13"/>
      <c r="B180" s="13"/>
      <c r="C180" s="11" t="s">
        <v>704</v>
      </c>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row>
    <row r="181" spans="1:63" ht="12.75">
      <c r="A181" s="13"/>
      <c r="B181" s="13"/>
      <c r="C181" s="11" t="s">
        <v>705</v>
      </c>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row>
    <row r="182" spans="1:63" ht="12.75">
      <c r="A182" s="13"/>
      <c r="B182" s="13"/>
      <c r="C182" s="11" t="s">
        <v>706</v>
      </c>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row>
    <row r="183" spans="1:63" ht="12.75">
      <c r="A183" s="13"/>
      <c r="B183" s="13"/>
      <c r="C183" s="11" t="s">
        <v>707</v>
      </c>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row>
    <row r="184" spans="1:63" ht="12.75">
      <c r="A184" s="13"/>
      <c r="B184" s="13"/>
      <c r="C184" s="11" t="s">
        <v>708</v>
      </c>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row>
    <row r="185" spans="1:63" ht="12.75">
      <c r="A185" s="13"/>
      <c r="B185" s="13"/>
      <c r="C185" s="11" t="s">
        <v>709</v>
      </c>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row>
    <row r="186" spans="1:63" ht="12.75">
      <c r="A186" s="13"/>
      <c r="B186" s="13"/>
      <c r="C186" s="11" t="s">
        <v>710</v>
      </c>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row>
    <row r="187" spans="1:63" ht="12.75">
      <c r="A187" s="13"/>
      <c r="B187" s="13"/>
      <c r="C187" s="11" t="s">
        <v>711</v>
      </c>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row>
    <row r="188" spans="1:63" ht="12.75">
      <c r="A188" s="13"/>
      <c r="B188" s="13"/>
      <c r="C188" s="11" t="s">
        <v>712</v>
      </c>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row>
    <row r="189" spans="1:63" ht="12.75">
      <c r="A189" s="13"/>
      <c r="B189" s="13"/>
      <c r="C189" s="11" t="s">
        <v>713</v>
      </c>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row>
    <row r="190" spans="1:63" ht="12.75">
      <c r="A190" s="13"/>
      <c r="B190" s="13"/>
      <c r="C190" s="11" t="s">
        <v>714</v>
      </c>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row>
    <row r="191" spans="1:63" ht="12.75">
      <c r="A191" s="13"/>
      <c r="B191" s="13"/>
      <c r="C191" s="11" t="s">
        <v>715</v>
      </c>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row>
    <row r="192" spans="1:63" ht="12.75">
      <c r="A192" s="13"/>
      <c r="B192" s="13"/>
      <c r="C192" s="11" t="s">
        <v>716</v>
      </c>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row>
    <row r="193" spans="1:63" ht="12.75">
      <c r="A193" s="13"/>
      <c r="B193" s="13"/>
      <c r="C193" s="11" t="s">
        <v>717</v>
      </c>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row>
    <row r="194" spans="1:63" ht="12.75">
      <c r="A194" s="13"/>
      <c r="B194" s="13"/>
      <c r="C194" s="11" t="s">
        <v>718</v>
      </c>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row>
    <row r="195" spans="1:63" ht="12.75">
      <c r="A195" s="13"/>
      <c r="B195" s="13"/>
      <c r="C195" s="11" t="s">
        <v>719</v>
      </c>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row>
    <row r="196" spans="1:63" ht="12.75">
      <c r="A196" s="13"/>
      <c r="B196" s="13"/>
      <c r="C196" s="11" t="s">
        <v>720</v>
      </c>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row>
    <row r="197" spans="1:63" ht="12.75">
      <c r="A197" s="13"/>
      <c r="B197" s="13"/>
      <c r="C197" s="11" t="s">
        <v>721</v>
      </c>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row>
    <row r="198" spans="1:63" ht="12.75">
      <c r="A198" s="13"/>
      <c r="B198" s="13"/>
      <c r="C198" s="11" t="s">
        <v>722</v>
      </c>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row>
    <row r="199" spans="1:63" ht="12.75">
      <c r="A199" s="13"/>
      <c r="B199" s="13"/>
      <c r="C199" s="11" t="s">
        <v>723</v>
      </c>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row>
    <row r="200" spans="1:63" ht="12.75">
      <c r="A200" s="13"/>
      <c r="B200" s="13"/>
      <c r="C200" s="11" t="s">
        <v>724</v>
      </c>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row>
    <row r="201" spans="1:63" ht="12.75">
      <c r="A201" s="13"/>
      <c r="B201" s="13"/>
      <c r="C201" s="11" t="s">
        <v>725</v>
      </c>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row>
    <row r="202" spans="1:63" ht="12.75">
      <c r="A202" s="13"/>
      <c r="B202" s="13"/>
      <c r="C202" s="11" t="s">
        <v>726</v>
      </c>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row>
    <row r="203" spans="1:63" ht="12.75">
      <c r="A203" s="13"/>
      <c r="B203" s="13"/>
      <c r="C203" s="11" t="s">
        <v>727</v>
      </c>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row>
    <row r="204" spans="1:63" ht="12.75">
      <c r="A204" s="13"/>
      <c r="B204" s="13"/>
      <c r="C204" s="11" t="s">
        <v>728</v>
      </c>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row>
    <row r="205" spans="1:63" ht="12.75">
      <c r="A205" s="13"/>
      <c r="B205" s="13"/>
      <c r="C205" s="11" t="s">
        <v>729</v>
      </c>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row>
    <row r="206" spans="1:63" ht="12.75">
      <c r="A206" s="13"/>
      <c r="B206" s="13"/>
      <c r="C206" s="11" t="s">
        <v>730</v>
      </c>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row>
    <row r="207" spans="1:63" ht="12.75">
      <c r="A207" s="13"/>
      <c r="B207" s="13"/>
      <c r="C207" s="11" t="s">
        <v>731</v>
      </c>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row>
    <row r="208" spans="1:63" ht="12.75">
      <c r="A208" s="13"/>
      <c r="B208" s="13"/>
      <c r="C208" s="11" t="s">
        <v>732</v>
      </c>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row>
    <row r="209" spans="1:63" ht="12.75">
      <c r="A209" s="13"/>
      <c r="B209" s="13"/>
      <c r="C209" s="11" t="s">
        <v>733</v>
      </c>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row>
    <row r="210" spans="1:63" ht="12.75">
      <c r="A210" s="13"/>
      <c r="B210" s="13"/>
      <c r="C210" s="11" t="s">
        <v>734</v>
      </c>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row>
    <row r="211" spans="1:63" ht="12.75">
      <c r="A211" s="13"/>
      <c r="B211" s="13"/>
      <c r="C211" s="11" t="s">
        <v>735</v>
      </c>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row>
    <row r="212" spans="1:63" ht="12.75">
      <c r="A212" s="13"/>
      <c r="B212" s="13"/>
      <c r="C212" s="11" t="s">
        <v>736</v>
      </c>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row>
    <row r="213" spans="1:63" ht="12.75">
      <c r="A213" s="13"/>
      <c r="B213" s="13"/>
      <c r="C213" s="11" t="s">
        <v>737</v>
      </c>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row>
    <row r="214" spans="1:63" ht="12.75">
      <c r="A214" s="13"/>
      <c r="B214" s="13"/>
      <c r="C214" s="11" t="s">
        <v>738</v>
      </c>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row>
    <row r="215" spans="1:63" ht="12.75">
      <c r="A215" s="13"/>
      <c r="B215" s="13"/>
      <c r="C215" s="11" t="s">
        <v>739</v>
      </c>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row>
    <row r="216" spans="1:63" ht="12.75">
      <c r="A216" s="13"/>
      <c r="B216" s="13"/>
      <c r="C216" s="11" t="s">
        <v>740</v>
      </c>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row>
    <row r="217" spans="1:63" ht="12.75">
      <c r="A217" s="13"/>
      <c r="B217" s="13"/>
      <c r="C217" s="11" t="s">
        <v>741</v>
      </c>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row>
    <row r="218" spans="1:63" ht="12.75">
      <c r="A218" s="13"/>
      <c r="B218" s="13"/>
      <c r="C218" s="11" t="s">
        <v>742</v>
      </c>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row>
    <row r="219" spans="1:63" ht="12.75">
      <c r="A219" s="13"/>
      <c r="B219" s="13"/>
      <c r="C219" s="11" t="s">
        <v>743</v>
      </c>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row>
    <row r="220" spans="1:63" ht="12.75">
      <c r="A220" s="13"/>
      <c r="B220" s="13"/>
      <c r="C220" s="11" t="s">
        <v>744</v>
      </c>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1329</v>
      </c>
      <c r="C4" s="4" t="s">
        <v>1329</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VCCF008230</v>
      </c>
      <c r="C11" s="2" t="str">
        <f t="shared" si="0"/>
        <v>VCCF008230</v>
      </c>
      <c r="D11" s="72"/>
    </row>
    <row r="12" spans="1:4" ht="12.75">
      <c r="A12" s="72" t="s">
        <v>13</v>
      </c>
      <c r="B12" s="3"/>
      <c r="C12" s="3"/>
      <c r="D12" s="72"/>
    </row>
    <row r="13" spans="1:4" ht="12.75">
      <c r="A13" s="72" t="s">
        <v>491</v>
      </c>
      <c r="B13" s="4" t="str">
        <f>+'9707 Compressor Pkg'!B13</f>
        <v>INAC-Suspended, Shut-in</v>
      </c>
      <c r="C13" s="4" t="str">
        <f>+B13</f>
        <v>INAC-Suspended, Shut-in</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20" t="s">
        <v>154</v>
      </c>
      <c r="B36" s="120"/>
      <c r="C36" s="120"/>
      <c r="D36" s="120"/>
    </row>
    <row r="37" spans="1:4" ht="12.75">
      <c r="A37" s="121"/>
      <c r="B37" s="122"/>
      <c r="C37" s="122"/>
      <c r="D37" s="123"/>
    </row>
    <row r="38" spans="1:4" ht="12.75">
      <c r="A38" s="124"/>
      <c r="B38" s="125"/>
      <c r="C38" s="125"/>
      <c r="D38" s="126"/>
    </row>
    <row r="39" spans="1:4" ht="12.75">
      <c r="A39" s="124"/>
      <c r="B39" s="125"/>
      <c r="C39" s="125"/>
      <c r="D39" s="126"/>
    </row>
    <row r="40" spans="1:4" ht="12.75">
      <c r="A40" s="124"/>
      <c r="B40" s="125"/>
      <c r="C40" s="125"/>
      <c r="D40" s="126"/>
    </row>
    <row r="41" spans="1:4" ht="12.75">
      <c r="A41" s="124"/>
      <c r="B41" s="125"/>
      <c r="C41" s="125"/>
      <c r="D41" s="126"/>
    </row>
    <row r="42" spans="1:4" ht="12.75">
      <c r="A42" s="124"/>
      <c r="B42" s="125"/>
      <c r="C42" s="125"/>
      <c r="D42" s="126"/>
    </row>
    <row r="43" spans="1:4" ht="12.75">
      <c r="A43" s="124"/>
      <c r="B43" s="125"/>
      <c r="C43" s="125"/>
      <c r="D43" s="126"/>
    </row>
    <row r="44" spans="1:4" ht="12.75">
      <c r="A44" s="124"/>
      <c r="B44" s="125"/>
      <c r="C44" s="125"/>
      <c r="D44" s="126"/>
    </row>
    <row r="45" spans="1:4" ht="12.75">
      <c r="A45" s="124"/>
      <c r="B45" s="125"/>
      <c r="C45" s="125"/>
      <c r="D45" s="126"/>
    </row>
    <row r="46" spans="1:4" ht="12.75">
      <c r="A46" s="127"/>
      <c r="B46" s="128"/>
      <c r="C46" s="128"/>
      <c r="D46" s="129"/>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1.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IV16384"/>
      <selection pane="topRight" activeCell="A1" sqref="A1:IV16384"/>
      <selection pane="bottomLeft" activeCell="A1" sqref="A1:IV16384"/>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1330</v>
      </c>
      <c r="C4" s="4" t="s">
        <v>1330</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VCCF008230</v>
      </c>
      <c r="C11" s="2" t="str">
        <f t="shared" si="0"/>
        <v>VCCF008230</v>
      </c>
      <c r="D11" s="72"/>
    </row>
    <row r="12" spans="1:4" ht="12.75">
      <c r="A12" s="72" t="s">
        <v>13</v>
      </c>
      <c r="B12" s="3"/>
      <c r="C12" s="3"/>
      <c r="D12" s="72"/>
    </row>
    <row r="13" spans="1:4" ht="12.75">
      <c r="A13" s="72" t="s">
        <v>491</v>
      </c>
      <c r="B13" s="4" t="str">
        <f>+'9707 Compressor Pkg'!B13</f>
        <v>INAC-Suspended, Shut-in</v>
      </c>
      <c r="C13" s="4" t="str">
        <f>+B13</f>
        <v>INAC-Suspended, Shut-in</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20" t="s">
        <v>154</v>
      </c>
      <c r="B36" s="120"/>
      <c r="C36" s="120"/>
      <c r="D36" s="120"/>
    </row>
    <row r="37" spans="1:4" ht="12.75">
      <c r="A37" s="121"/>
      <c r="B37" s="122"/>
      <c r="C37" s="122"/>
      <c r="D37" s="123"/>
    </row>
    <row r="38" spans="1:4" ht="12.75">
      <c r="A38" s="124"/>
      <c r="B38" s="125"/>
      <c r="C38" s="125"/>
      <c r="D38" s="126"/>
    </row>
    <row r="39" spans="1:4" ht="12.75">
      <c r="A39" s="124"/>
      <c r="B39" s="125"/>
      <c r="C39" s="125"/>
      <c r="D39" s="126"/>
    </row>
    <row r="40" spans="1:4" ht="12.75">
      <c r="A40" s="124"/>
      <c r="B40" s="125"/>
      <c r="C40" s="125"/>
      <c r="D40" s="126"/>
    </row>
    <row r="41" spans="1:4" ht="12.75">
      <c r="A41" s="124"/>
      <c r="B41" s="125"/>
      <c r="C41" s="125"/>
      <c r="D41" s="126"/>
    </row>
    <row r="42" spans="1:4" ht="12.75">
      <c r="A42" s="124"/>
      <c r="B42" s="125"/>
      <c r="C42" s="125"/>
      <c r="D42" s="126"/>
    </row>
    <row r="43" spans="1:4" ht="12.75">
      <c r="A43" s="124"/>
      <c r="B43" s="125"/>
      <c r="C43" s="125"/>
      <c r="D43" s="126"/>
    </row>
    <row r="44" spans="1:4" ht="12.75">
      <c r="A44" s="124"/>
      <c r="B44" s="125"/>
      <c r="C44" s="125"/>
      <c r="D44" s="126"/>
    </row>
    <row r="45" spans="1:4" ht="12.75">
      <c r="A45" s="124"/>
      <c r="B45" s="125"/>
      <c r="C45" s="125"/>
      <c r="D45" s="126"/>
    </row>
    <row r="46" spans="1:4" ht="12.75">
      <c r="A46" s="127"/>
      <c r="B46" s="128"/>
      <c r="C46" s="128"/>
      <c r="D46" s="129"/>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IV16384"/>
      <selection pane="topRight" activeCell="A1" sqref="A1:IV16384"/>
      <selection pane="bottomLeft" activeCell="A1" sqref="A1:IV16384"/>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1331</v>
      </c>
      <c r="C4" s="4" t="s">
        <v>1331</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VCCF008230</v>
      </c>
      <c r="C11" s="2" t="str">
        <f t="shared" si="0"/>
        <v>VCCF008230</v>
      </c>
      <c r="D11" s="72"/>
    </row>
    <row r="12" spans="1:4" ht="12.75">
      <c r="A12" s="72" t="s">
        <v>13</v>
      </c>
      <c r="B12" s="3"/>
      <c r="C12" s="3"/>
      <c r="D12" s="72"/>
    </row>
    <row r="13" spans="1:4" ht="12.75">
      <c r="A13" s="72" t="s">
        <v>491</v>
      </c>
      <c r="B13" s="4" t="str">
        <f>+'9707 Compressor Pkg'!B13</f>
        <v>INAC-Suspended, Shut-in</v>
      </c>
      <c r="C13" s="4" t="str">
        <f>+B13</f>
        <v>INAC-Suspended, Shut-in</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20" t="s">
        <v>154</v>
      </c>
      <c r="B36" s="120"/>
      <c r="C36" s="120"/>
      <c r="D36" s="120"/>
    </row>
    <row r="37" spans="1:4" ht="12.75">
      <c r="A37" s="121"/>
      <c r="B37" s="122"/>
      <c r="C37" s="122"/>
      <c r="D37" s="123"/>
    </row>
    <row r="38" spans="1:4" ht="12.75">
      <c r="A38" s="124"/>
      <c r="B38" s="125"/>
      <c r="C38" s="125"/>
      <c r="D38" s="126"/>
    </row>
    <row r="39" spans="1:4" ht="12.75">
      <c r="A39" s="124"/>
      <c r="B39" s="125"/>
      <c r="C39" s="125"/>
      <c r="D39" s="126"/>
    </row>
    <row r="40" spans="1:4" ht="12.75">
      <c r="A40" s="124"/>
      <c r="B40" s="125"/>
      <c r="C40" s="125"/>
      <c r="D40" s="126"/>
    </row>
    <row r="41" spans="1:4" ht="12.75">
      <c r="A41" s="124"/>
      <c r="B41" s="125"/>
      <c r="C41" s="125"/>
      <c r="D41" s="126"/>
    </row>
    <row r="42" spans="1:4" ht="12.75">
      <c r="A42" s="124"/>
      <c r="B42" s="125"/>
      <c r="C42" s="125"/>
      <c r="D42" s="126"/>
    </row>
    <row r="43" spans="1:4" ht="12.75">
      <c r="A43" s="124"/>
      <c r="B43" s="125"/>
      <c r="C43" s="125"/>
      <c r="D43" s="126"/>
    </row>
    <row r="44" spans="1:4" ht="12.75">
      <c r="A44" s="124"/>
      <c r="B44" s="125"/>
      <c r="C44" s="125"/>
      <c r="D44" s="126"/>
    </row>
    <row r="45" spans="1:4" ht="12.75">
      <c r="A45" s="124"/>
      <c r="B45" s="125"/>
      <c r="C45" s="125"/>
      <c r="D45" s="126"/>
    </row>
    <row r="46" spans="1:4" ht="12.75">
      <c r="A46" s="127"/>
      <c r="B46" s="128"/>
      <c r="C46" s="128"/>
      <c r="D46" s="129"/>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IV16384"/>
      <selection pane="topRight" activeCell="A1" sqref="A1:IV16384"/>
      <selection pane="bottomLeft" activeCell="A1" sqref="A1:IV16384"/>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1332</v>
      </c>
      <c r="C4" s="4" t="s">
        <v>1332</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VCCF008230</v>
      </c>
      <c r="C11" s="2" t="str">
        <f t="shared" si="0"/>
        <v>VCCF008230</v>
      </c>
      <c r="D11" s="72"/>
    </row>
    <row r="12" spans="1:4" ht="12.75">
      <c r="A12" s="72" t="s">
        <v>13</v>
      </c>
      <c r="B12" s="3"/>
      <c r="C12" s="3"/>
      <c r="D12" s="72"/>
    </row>
    <row r="13" spans="1:4" ht="12.75">
      <c r="A13" s="72" t="s">
        <v>491</v>
      </c>
      <c r="B13" s="4" t="str">
        <f>+'9707 Compressor Pkg'!B13</f>
        <v>INAC-Suspended, Shut-in</v>
      </c>
      <c r="C13" s="4" t="str">
        <f>+B13</f>
        <v>INAC-Suspended, Shut-in</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20" t="s">
        <v>154</v>
      </c>
      <c r="B36" s="120"/>
      <c r="C36" s="120"/>
      <c r="D36" s="120"/>
    </row>
    <row r="37" spans="1:4" ht="12.75">
      <c r="A37" s="121"/>
      <c r="B37" s="122"/>
      <c r="C37" s="122"/>
      <c r="D37" s="123"/>
    </row>
    <row r="38" spans="1:4" ht="12.75">
      <c r="A38" s="124"/>
      <c r="B38" s="125"/>
      <c r="C38" s="125"/>
      <c r="D38" s="126"/>
    </row>
    <row r="39" spans="1:4" ht="12.75">
      <c r="A39" s="124"/>
      <c r="B39" s="125"/>
      <c r="C39" s="125"/>
      <c r="D39" s="126"/>
    </row>
    <row r="40" spans="1:4" ht="12.75">
      <c r="A40" s="124"/>
      <c r="B40" s="125"/>
      <c r="C40" s="125"/>
      <c r="D40" s="126"/>
    </row>
    <row r="41" spans="1:4" ht="12.75">
      <c r="A41" s="124"/>
      <c r="B41" s="125"/>
      <c r="C41" s="125"/>
      <c r="D41" s="126"/>
    </row>
    <row r="42" spans="1:4" ht="12.75">
      <c r="A42" s="124"/>
      <c r="B42" s="125"/>
      <c r="C42" s="125"/>
      <c r="D42" s="126"/>
    </row>
    <row r="43" spans="1:4" ht="12.75">
      <c r="A43" s="124"/>
      <c r="B43" s="125"/>
      <c r="C43" s="125"/>
      <c r="D43" s="126"/>
    </row>
    <row r="44" spans="1:4" ht="12.75">
      <c r="A44" s="124"/>
      <c r="B44" s="125"/>
      <c r="C44" s="125"/>
      <c r="D44" s="126"/>
    </row>
    <row r="45" spans="1:4" ht="12.75">
      <c r="A45" s="124"/>
      <c r="B45" s="125"/>
      <c r="C45" s="125"/>
      <c r="D45" s="126"/>
    </row>
    <row r="46" spans="1:4" ht="12.75">
      <c r="A46" s="127"/>
      <c r="B46" s="128"/>
      <c r="C46" s="128"/>
      <c r="D46" s="129"/>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F46"/>
  <sheetViews>
    <sheetView workbookViewId="0" topLeftCell="A1">
      <pane xSplit="1" ySplit="1" topLeftCell="B2" activePane="bottomRight" state="frozen"/>
      <selection pane="topLeft" activeCell="A1" sqref="A1:IV16384"/>
      <selection pane="topRight" activeCell="A1" sqref="A1:IV16384"/>
      <selection pane="bottomLeft" activeCell="A1" sqref="A1:IV16384"/>
      <selection pane="bottomRight" activeCell="B2" sqref="B2"/>
    </sheetView>
  </sheetViews>
  <sheetFormatPr defaultColWidth="9.140625" defaultRowHeight="12.75"/>
  <cols>
    <col min="1" max="1" width="36.00390625" style="1" bestFit="1" customWidth="1"/>
    <col min="2" max="3" width="36.140625" style="75" customWidth="1"/>
    <col min="4" max="4" width="34.57421875" style="1" bestFit="1" customWidth="1"/>
    <col min="6" max="6" width="22.421875" style="0" bestFit="1" customWidth="1"/>
  </cols>
  <sheetData>
    <row r="1" spans="1:6" ht="12.75">
      <c r="A1" s="71" t="s">
        <v>0</v>
      </c>
      <c r="B1" s="71" t="s">
        <v>1</v>
      </c>
      <c r="C1" s="71" t="s">
        <v>1</v>
      </c>
      <c r="D1" s="71" t="s">
        <v>2</v>
      </c>
      <c r="F1" s="70" t="s">
        <v>1302</v>
      </c>
    </row>
    <row r="2" spans="1:6" ht="12.75">
      <c r="A2" s="72" t="s">
        <v>3</v>
      </c>
      <c r="B2" s="3"/>
      <c r="C2" s="3"/>
      <c r="D2" s="72"/>
      <c r="F2" s="84" t="s">
        <v>1304</v>
      </c>
    </row>
    <row r="3" spans="1:4" ht="12.75">
      <c r="A3" s="72" t="s">
        <v>4</v>
      </c>
      <c r="B3" s="4" t="s">
        <v>236</v>
      </c>
      <c r="C3" s="4" t="s">
        <v>236</v>
      </c>
      <c r="D3" s="23"/>
    </row>
    <row r="4" spans="1:6" ht="12.75">
      <c r="A4" s="72" t="s">
        <v>6</v>
      </c>
      <c r="B4" s="4" t="s">
        <v>1333</v>
      </c>
      <c r="C4" s="4" t="s">
        <v>1333</v>
      </c>
      <c r="D4" s="72"/>
      <c r="F4" s="92" t="s">
        <v>1307</v>
      </c>
    </row>
    <row r="5" spans="1:4" ht="12.75">
      <c r="A5" s="72" t="s">
        <v>7</v>
      </c>
      <c r="B5" s="4" t="str">
        <f>+'9707 Compressor Pkg'!B5</f>
        <v>CAD_Peco</v>
      </c>
      <c r="C5" s="4" t="str">
        <f aca="true" t="shared" si="0" ref="C5:C11">+B5</f>
        <v>CAD_Peco</v>
      </c>
      <c r="D5" s="23" t="s">
        <v>510</v>
      </c>
    </row>
    <row r="6" spans="1:4" ht="12.75">
      <c r="A6" s="72" t="s">
        <v>509</v>
      </c>
      <c r="B6" s="4" t="str">
        <f>+'9707 Compressor Pkg'!B6</f>
        <v>PECO_Peco</v>
      </c>
      <c r="C6" s="4" t="str">
        <f t="shared" si="0"/>
        <v>PECO_Peco</v>
      </c>
      <c r="D6" s="23" t="s">
        <v>510</v>
      </c>
    </row>
    <row r="7" spans="1:4" ht="12.75">
      <c r="A7" s="72" t="s">
        <v>8</v>
      </c>
      <c r="B7" s="4" t="str">
        <f>+'9707 Compressor Pkg'!B7</f>
        <v>CMP_Compressor Station </v>
      </c>
      <c r="C7" s="4" t="str">
        <f t="shared" si="0"/>
        <v>CMP_Compressor Station </v>
      </c>
      <c r="D7" s="23" t="s">
        <v>510</v>
      </c>
    </row>
    <row r="8" spans="1:4" ht="12.75">
      <c r="A8" s="72" t="s">
        <v>9</v>
      </c>
      <c r="B8" s="4">
        <f>+'9707 Compressor Pkg'!B8</f>
        <v>0</v>
      </c>
      <c r="C8" s="4">
        <f t="shared" si="0"/>
        <v>0</v>
      </c>
      <c r="D8" s="72"/>
    </row>
    <row r="9" spans="1:4" ht="12.75">
      <c r="A9" s="72" t="s">
        <v>10</v>
      </c>
      <c r="B9" s="4" t="str">
        <f>+'9707 Compressor Pkg'!B9</f>
        <v>100/06-21-048-16W5/00</v>
      </c>
      <c r="C9" s="4" t="str">
        <f t="shared" si="0"/>
        <v>100/06-21-048-16W5/00</v>
      </c>
      <c r="D9" s="72"/>
    </row>
    <row r="10" spans="1:4" ht="12.75">
      <c r="A10" s="72" t="s">
        <v>11</v>
      </c>
      <c r="B10" s="4" t="str">
        <f>+'9707 Compressor Pkg'!B10</f>
        <v>CMP1_Compression</v>
      </c>
      <c r="C10" s="4" t="str">
        <f t="shared" si="0"/>
        <v>CMP1_Compression</v>
      </c>
      <c r="D10" s="23" t="s">
        <v>510</v>
      </c>
    </row>
    <row r="11" spans="1:4" ht="12.75">
      <c r="A11" s="72" t="s">
        <v>12</v>
      </c>
      <c r="B11" s="2" t="str">
        <f>+'9707 Compressor Pkg'!B11</f>
        <v>VCCF008230</v>
      </c>
      <c r="C11" s="2" t="str">
        <f t="shared" si="0"/>
        <v>VCCF008230</v>
      </c>
      <c r="D11" s="72"/>
    </row>
    <row r="12" spans="1:4" ht="12.75">
      <c r="A12" s="72" t="s">
        <v>13</v>
      </c>
      <c r="B12" s="3"/>
      <c r="C12" s="3"/>
      <c r="D12" s="72"/>
    </row>
    <row r="13" spans="1:4" ht="12.75">
      <c r="A13" s="72" t="s">
        <v>491</v>
      </c>
      <c r="B13" s="4" t="str">
        <f>+'9707 Compressor Pkg'!B13</f>
        <v>INAC-Suspended, Shut-in</v>
      </c>
      <c r="C13" s="4" t="str">
        <f>+B13</f>
        <v>INAC-Suspended, Shut-in</v>
      </c>
      <c r="D13" s="23" t="s">
        <v>510</v>
      </c>
    </row>
    <row r="14" spans="1:4" ht="12.75">
      <c r="A14" s="72" t="s">
        <v>14</v>
      </c>
      <c r="B14" s="89" t="s">
        <v>879</v>
      </c>
      <c r="C14" s="89" t="s">
        <v>879</v>
      </c>
      <c r="D14" s="72"/>
    </row>
    <row r="15" spans="1:4" ht="12.75">
      <c r="A15" s="72" t="s">
        <v>15</v>
      </c>
      <c r="B15" s="89" t="s">
        <v>879</v>
      </c>
      <c r="C15" s="89" t="s">
        <v>879</v>
      </c>
      <c r="D15" s="72"/>
    </row>
    <row r="16" spans="1:4" ht="12.75">
      <c r="A16" s="72" t="s">
        <v>16</v>
      </c>
      <c r="B16" s="90" t="s">
        <v>879</v>
      </c>
      <c r="C16" s="90" t="s">
        <v>879</v>
      </c>
      <c r="D16" s="72"/>
    </row>
    <row r="17" spans="1:4" ht="12.75">
      <c r="A17" s="72" t="s">
        <v>17</v>
      </c>
      <c r="B17" s="91" t="s">
        <v>879</v>
      </c>
      <c r="C17" s="91" t="s">
        <v>879</v>
      </c>
      <c r="D17" s="72"/>
    </row>
    <row r="18" spans="1:4" ht="12.75">
      <c r="A18" s="72" t="s">
        <v>88</v>
      </c>
      <c r="B18" s="90" t="s">
        <v>879</v>
      </c>
      <c r="C18" s="90" t="s">
        <v>879</v>
      </c>
      <c r="D18" s="72"/>
    </row>
    <row r="19" spans="1:4" ht="12.75">
      <c r="A19" s="72" t="s">
        <v>93</v>
      </c>
      <c r="B19" s="90" t="s">
        <v>879</v>
      </c>
      <c r="C19" s="90" t="s">
        <v>879</v>
      </c>
      <c r="D19" s="72"/>
    </row>
    <row r="20" spans="1:4" ht="12.75">
      <c r="A20" s="19" t="s">
        <v>19</v>
      </c>
      <c r="B20" s="87" t="s">
        <v>879</v>
      </c>
      <c r="C20" s="87" t="s">
        <v>879</v>
      </c>
      <c r="D20" s="23" t="s">
        <v>510</v>
      </c>
    </row>
    <row r="21" spans="1:4" ht="12.75">
      <c r="A21" s="5" t="s">
        <v>445</v>
      </c>
      <c r="B21" s="87" t="s">
        <v>879</v>
      </c>
      <c r="C21" s="87" t="s">
        <v>879</v>
      </c>
      <c r="D21" s="5"/>
    </row>
    <row r="22" spans="1:4" ht="12.75">
      <c r="A22" s="5" t="s">
        <v>119</v>
      </c>
      <c r="B22" s="87" t="s">
        <v>879</v>
      </c>
      <c r="C22" s="87" t="s">
        <v>879</v>
      </c>
      <c r="D22" s="5"/>
    </row>
    <row r="23" spans="1:4" ht="12.75">
      <c r="A23" s="5" t="s">
        <v>489</v>
      </c>
      <c r="B23" s="87" t="s">
        <v>879</v>
      </c>
      <c r="C23" s="87" t="s">
        <v>879</v>
      </c>
      <c r="D23" s="5"/>
    </row>
    <row r="24" spans="1:4" ht="12.75">
      <c r="A24" s="5" t="s">
        <v>490</v>
      </c>
      <c r="B24" s="87" t="s">
        <v>879</v>
      </c>
      <c r="C24" s="87" t="s">
        <v>879</v>
      </c>
      <c r="D24" s="5"/>
    </row>
    <row r="25" spans="1:4" ht="12.75">
      <c r="A25" s="5" t="s">
        <v>382</v>
      </c>
      <c r="B25" s="87" t="s">
        <v>879</v>
      </c>
      <c r="C25" s="87" t="s">
        <v>879</v>
      </c>
      <c r="D25" s="5"/>
    </row>
    <row r="26" spans="1:4" ht="12.75">
      <c r="A26" s="5" t="s">
        <v>381</v>
      </c>
      <c r="B26" s="87" t="s">
        <v>879</v>
      </c>
      <c r="C26" s="87" t="s">
        <v>879</v>
      </c>
      <c r="D26" s="5"/>
    </row>
    <row r="28" spans="1:4" ht="25.5">
      <c r="A28" s="76" t="s">
        <v>1252</v>
      </c>
      <c r="B28" s="74"/>
      <c r="C28" s="74"/>
      <c r="D28" s="23" t="s">
        <v>510</v>
      </c>
    </row>
    <row r="29" spans="1:4" ht="25.5">
      <c r="A29" s="76" t="s">
        <v>1253</v>
      </c>
      <c r="B29" s="74"/>
      <c r="C29" s="74"/>
      <c r="D29" s="23" t="s">
        <v>510</v>
      </c>
    </row>
    <row r="30" spans="1:4" ht="12.75">
      <c r="A30" s="76" t="s">
        <v>1254</v>
      </c>
      <c r="B30" s="74"/>
      <c r="C30" s="74"/>
      <c r="D30" s="23" t="s">
        <v>510</v>
      </c>
    </row>
    <row r="31" spans="1:4" ht="38.25">
      <c r="A31" s="76" t="s">
        <v>1255</v>
      </c>
      <c r="B31" s="74"/>
      <c r="C31" s="74"/>
      <c r="D31" s="23" t="s">
        <v>510</v>
      </c>
    </row>
    <row r="32" spans="1:4" ht="51">
      <c r="A32" s="76" t="s">
        <v>1256</v>
      </c>
      <c r="B32" s="74"/>
      <c r="C32" s="74"/>
      <c r="D32" s="23" t="s">
        <v>510</v>
      </c>
    </row>
    <row r="33" spans="1:4" ht="51">
      <c r="A33" s="76" t="s">
        <v>1257</v>
      </c>
      <c r="B33" s="74"/>
      <c r="C33" s="74"/>
      <c r="D33" s="23" t="s">
        <v>510</v>
      </c>
    </row>
    <row r="34" spans="1:4" ht="25.5">
      <c r="A34" s="76" t="s">
        <v>1258</v>
      </c>
      <c r="B34" s="74"/>
      <c r="C34" s="74"/>
      <c r="D34" s="23"/>
    </row>
    <row r="36" spans="1:4" ht="12.75">
      <c r="A36" s="120" t="s">
        <v>154</v>
      </c>
      <c r="B36" s="120"/>
      <c r="C36" s="120"/>
      <c r="D36" s="120"/>
    </row>
    <row r="37" spans="1:4" ht="12.75">
      <c r="A37" s="121"/>
      <c r="B37" s="122"/>
      <c r="C37" s="122"/>
      <c r="D37" s="123"/>
    </row>
    <row r="38" spans="1:4" ht="12.75">
      <c r="A38" s="124"/>
      <c r="B38" s="125"/>
      <c r="C38" s="125"/>
      <c r="D38" s="126"/>
    </row>
    <row r="39" spans="1:4" ht="12.75">
      <c r="A39" s="124"/>
      <c r="B39" s="125"/>
      <c r="C39" s="125"/>
      <c r="D39" s="126"/>
    </row>
    <row r="40" spans="1:4" ht="12.75">
      <c r="A40" s="124"/>
      <c r="B40" s="125"/>
      <c r="C40" s="125"/>
      <c r="D40" s="126"/>
    </row>
    <row r="41" spans="1:4" ht="12.75">
      <c r="A41" s="124"/>
      <c r="B41" s="125"/>
      <c r="C41" s="125"/>
      <c r="D41" s="126"/>
    </row>
    <row r="42" spans="1:4" ht="12.75">
      <c r="A42" s="124"/>
      <c r="B42" s="125"/>
      <c r="C42" s="125"/>
      <c r="D42" s="126"/>
    </row>
    <row r="43" spans="1:4" ht="12.75">
      <c r="A43" s="124"/>
      <c r="B43" s="125"/>
      <c r="C43" s="125"/>
      <c r="D43" s="126"/>
    </row>
    <row r="44" spans="1:4" ht="12.75">
      <c r="A44" s="124"/>
      <c r="B44" s="125"/>
      <c r="C44" s="125"/>
      <c r="D44" s="126"/>
    </row>
    <row r="45" spans="1:4" ht="12.75">
      <c r="A45" s="124"/>
      <c r="B45" s="125"/>
      <c r="C45" s="125"/>
      <c r="D45" s="126"/>
    </row>
    <row r="46" spans="1:4" ht="12.75">
      <c r="A46" s="127"/>
      <c r="B46" s="128"/>
      <c r="C46" s="128"/>
      <c r="D46" s="129"/>
    </row>
  </sheetData>
  <mergeCells count="2">
    <mergeCell ref="A36:D36"/>
    <mergeCell ref="A37:D46"/>
  </mergeCells>
  <dataValidations count="8">
    <dataValidation type="list" allowBlank="1" showInputMessage="1" showErrorMessage="1" sqref="B28:C33">
      <formula1>YES_NO</formula1>
    </dataValidation>
    <dataValidation errorStyle="warning" type="list" allowBlank="1" showInputMessage="1" showErrorMessage="1" sqref="B6:C6">
      <formula1>Area_Level_3</formula1>
    </dataValidation>
    <dataValidation errorStyle="warning" type="list" allowBlank="1" showInputMessage="1" showErrorMessage="1" sqref="B5:C5">
      <formula1>Maintenance_Plant</formula1>
    </dataValidation>
    <dataValidation errorStyle="warning" type="list" allowBlank="1" showInputMessage="1" showErrorMessage="1" sqref="B7:C7">
      <formula1>Type_of_Facility</formula1>
    </dataValidation>
    <dataValidation errorStyle="warning" type="list" allowBlank="1" showInputMessage="1" showErrorMessage="1" sqref="B10:C10">
      <formula1>Process</formula1>
    </dataValidation>
    <dataValidation errorStyle="warning" type="list" allowBlank="1" showInputMessage="1" showErrorMessage="1" sqref="B13:C13">
      <formula1>STATUS</formula1>
    </dataValidation>
    <dataValidation allowBlank="1" showInputMessage="1" showErrorMessage="1" sqref="B14:C19"/>
    <dataValidation errorStyle="warning" type="list" allowBlank="1" showInputMessage="1" showErrorMessage="1" sqref="B20:C20">
      <formula1>Controllable_Asset_Indicator</formula1>
    </dataValidation>
  </dataValidations>
  <hyperlinks>
    <hyperlink ref="F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E4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282</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19</v>
      </c>
      <c r="B20" s="87" t="s">
        <v>879</v>
      </c>
      <c r="C20" s="23" t="s">
        <v>510</v>
      </c>
    </row>
    <row r="21" spans="1:3" ht="12.75">
      <c r="A21" s="19" t="s">
        <v>119</v>
      </c>
      <c r="B21" s="87" t="s">
        <v>879</v>
      </c>
      <c r="C21" s="23"/>
    </row>
    <row r="22" spans="1:3" ht="12.75">
      <c r="A22" s="19" t="s">
        <v>21</v>
      </c>
      <c r="B22" s="87" t="s">
        <v>879</v>
      </c>
      <c r="C22" s="23" t="s">
        <v>510</v>
      </c>
    </row>
    <row r="23" spans="1:3" ht="12.75">
      <c r="A23" s="19" t="s">
        <v>377</v>
      </c>
      <c r="B23" s="87" t="s">
        <v>879</v>
      </c>
      <c r="C23" s="23"/>
    </row>
    <row r="24" spans="1:3" ht="12.75">
      <c r="A24" s="19" t="s">
        <v>351</v>
      </c>
      <c r="B24" s="87" t="s">
        <v>879</v>
      </c>
      <c r="C24" s="23" t="s">
        <v>510</v>
      </c>
    </row>
    <row r="26" spans="1:3" ht="25.5">
      <c r="A26" s="76" t="s">
        <v>1252</v>
      </c>
      <c r="B26" s="74"/>
      <c r="C26" s="23" t="s">
        <v>510</v>
      </c>
    </row>
    <row r="27" spans="1:3" ht="25.5">
      <c r="A27" s="76" t="s">
        <v>1253</v>
      </c>
      <c r="B27" s="74"/>
      <c r="C27" s="23" t="s">
        <v>510</v>
      </c>
    </row>
    <row r="28" spans="1:3" ht="12.75">
      <c r="A28" s="76" t="s">
        <v>1254</v>
      </c>
      <c r="B28" s="74"/>
      <c r="C28" s="23" t="s">
        <v>510</v>
      </c>
    </row>
    <row r="29" spans="1:3" ht="38.25">
      <c r="A29" s="76" t="s">
        <v>1255</v>
      </c>
      <c r="B29" s="74"/>
      <c r="C29" s="23" t="s">
        <v>510</v>
      </c>
    </row>
    <row r="30" spans="1:3" ht="51">
      <c r="A30" s="76" t="s">
        <v>1256</v>
      </c>
      <c r="B30" s="74"/>
      <c r="C30" s="23" t="s">
        <v>510</v>
      </c>
    </row>
    <row r="31" spans="1:3" ht="51">
      <c r="A31" s="76" t="s">
        <v>1257</v>
      </c>
      <c r="B31" s="74"/>
      <c r="C31" s="23" t="s">
        <v>510</v>
      </c>
    </row>
    <row r="32" spans="1:3" ht="25.5">
      <c r="A32" s="76" t="s">
        <v>1258</v>
      </c>
      <c r="B32" s="74"/>
      <c r="C32" s="23"/>
    </row>
    <row r="34" spans="1:3" ht="12.75">
      <c r="A34" s="120" t="s">
        <v>154</v>
      </c>
      <c r="B34" s="120"/>
      <c r="C34" s="120"/>
    </row>
    <row r="35" spans="1:3" ht="12.75">
      <c r="A35" s="121"/>
      <c r="B35" s="122"/>
      <c r="C35" s="123"/>
    </row>
    <row r="36" spans="1:3" ht="12.75">
      <c r="A36" s="124"/>
      <c r="B36" s="125"/>
      <c r="C36" s="126"/>
    </row>
    <row r="37" spans="1:3" ht="12.75">
      <c r="A37" s="124"/>
      <c r="B37" s="125"/>
      <c r="C37" s="126"/>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7"/>
      <c r="B44" s="128"/>
      <c r="C44" s="129"/>
    </row>
  </sheetData>
  <mergeCells count="2">
    <mergeCell ref="A34:C34"/>
    <mergeCell ref="A35:C44"/>
  </mergeCells>
  <dataValidations count="9">
    <dataValidation type="list" allowBlank="1" showInputMessage="1" showErrorMessage="1" sqref="B26:B31">
      <formula1>YES_NO</formula1>
    </dataValidation>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4">
      <formula1>SERVICE_MEDIUM_2</formula1>
    </dataValidation>
    <dataValidation errorStyle="warning" type="list" allowBlank="1" showInputMessage="1" showErrorMessage="1" sqref="B22">
      <formula1>POWER_SOURCE</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E4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189</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19" t="s">
        <v>351</v>
      </c>
      <c r="B20" s="87" t="s">
        <v>879</v>
      </c>
      <c r="C20" s="23" t="s">
        <v>510</v>
      </c>
    </row>
    <row r="22" spans="1:3" ht="25.5">
      <c r="A22" s="76" t="s">
        <v>1252</v>
      </c>
      <c r="B22" s="74"/>
      <c r="C22" s="23" t="s">
        <v>510</v>
      </c>
    </row>
    <row r="23" spans="1:3" ht="25.5">
      <c r="A23" s="76" t="s">
        <v>1253</v>
      </c>
      <c r="B23" s="74"/>
      <c r="C23" s="23" t="s">
        <v>510</v>
      </c>
    </row>
    <row r="24" spans="1:3" ht="12.75">
      <c r="A24" s="76" t="s">
        <v>1254</v>
      </c>
      <c r="B24" s="74"/>
      <c r="C24" s="23" t="s">
        <v>510</v>
      </c>
    </row>
    <row r="25" spans="1:3" ht="38.25">
      <c r="A25" s="76" t="s">
        <v>1255</v>
      </c>
      <c r="B25" s="74"/>
      <c r="C25" s="23" t="s">
        <v>510</v>
      </c>
    </row>
    <row r="26" spans="1:3" ht="51">
      <c r="A26" s="76" t="s">
        <v>1256</v>
      </c>
      <c r="B26" s="74"/>
      <c r="C26" s="23" t="s">
        <v>510</v>
      </c>
    </row>
    <row r="27" spans="1:3" ht="51">
      <c r="A27" s="76" t="s">
        <v>1257</v>
      </c>
      <c r="B27" s="74"/>
      <c r="C27" s="23" t="s">
        <v>510</v>
      </c>
    </row>
    <row r="28" spans="1:3" ht="25.5">
      <c r="A28" s="76" t="s">
        <v>1258</v>
      </c>
      <c r="B28" s="74"/>
      <c r="C28" s="23"/>
    </row>
    <row r="30" spans="1:3" ht="12.75">
      <c r="A30" s="120" t="s">
        <v>154</v>
      </c>
      <c r="B30" s="120"/>
      <c r="C30" s="120"/>
    </row>
    <row r="31" spans="1:3" ht="12.75">
      <c r="A31" s="121"/>
      <c r="B31" s="122"/>
      <c r="C31" s="123"/>
    </row>
    <row r="32" spans="1:3" ht="12.75">
      <c r="A32" s="124"/>
      <c r="B32" s="125"/>
      <c r="C32" s="126"/>
    </row>
    <row r="33" spans="1:3" ht="12.75">
      <c r="A33" s="124"/>
      <c r="B33" s="125"/>
      <c r="C33" s="126"/>
    </row>
    <row r="34" spans="1:3" ht="12.75">
      <c r="A34" s="124"/>
      <c r="B34" s="125"/>
      <c r="C34" s="126"/>
    </row>
    <row r="35" spans="1:3" ht="12.75">
      <c r="A35" s="124"/>
      <c r="B35" s="125"/>
      <c r="C35" s="126"/>
    </row>
    <row r="36" spans="1:3" ht="12.75">
      <c r="A36" s="124"/>
      <c r="B36" s="125"/>
      <c r="C36" s="126"/>
    </row>
    <row r="37" spans="1:3" ht="12.75">
      <c r="A37" s="124"/>
      <c r="B37" s="125"/>
      <c r="C37" s="126"/>
    </row>
    <row r="38" spans="1:3" ht="12.75">
      <c r="A38" s="124"/>
      <c r="B38" s="125"/>
      <c r="C38" s="126"/>
    </row>
    <row r="39" spans="1:3" ht="12.75">
      <c r="A39" s="124"/>
      <c r="B39" s="125"/>
      <c r="C39" s="126"/>
    </row>
    <row r="40" spans="1:3" ht="12.75">
      <c r="A40" s="127"/>
      <c r="B40" s="128"/>
      <c r="C40" s="129"/>
    </row>
  </sheetData>
  <mergeCells count="2">
    <mergeCell ref="A30:C30"/>
    <mergeCell ref="A31:C40"/>
  </mergeCells>
  <dataValidations count="7">
    <dataValidation type="list" allowBlank="1" showInputMessage="1" showErrorMessage="1" sqref="B22:B27">
      <formula1>YES_NO</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E4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286</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1262</v>
      </c>
      <c r="B20" s="87" t="s">
        <v>879</v>
      </c>
      <c r="C20" s="23"/>
    </row>
    <row r="21" spans="1:3" ht="12.75">
      <c r="A21" s="19" t="s">
        <v>1263</v>
      </c>
      <c r="B21" s="87" t="s">
        <v>879</v>
      </c>
      <c r="C21" s="23"/>
    </row>
    <row r="22" spans="1:3" ht="12.75">
      <c r="A22" s="19" t="s">
        <v>1264</v>
      </c>
      <c r="B22" s="87" t="s">
        <v>879</v>
      </c>
      <c r="C22" s="23"/>
    </row>
    <row r="23" spans="1:3" ht="12.75">
      <c r="A23" s="19" t="s">
        <v>119</v>
      </c>
      <c r="B23" s="87" t="s">
        <v>879</v>
      </c>
      <c r="C23" s="23"/>
    </row>
    <row r="24" spans="1:3" ht="12.75">
      <c r="A24" s="19" t="s">
        <v>1265</v>
      </c>
      <c r="B24" s="87" t="s">
        <v>879</v>
      </c>
      <c r="C24" s="23"/>
    </row>
    <row r="25" spans="1:3" ht="12.75">
      <c r="A25" s="19" t="s">
        <v>1266</v>
      </c>
      <c r="B25" s="87" t="s">
        <v>879</v>
      </c>
      <c r="C25" s="23"/>
    </row>
    <row r="26" spans="1:3" ht="12.75">
      <c r="A26" s="19" t="s">
        <v>351</v>
      </c>
      <c r="B26" s="87" t="s">
        <v>879</v>
      </c>
      <c r="C26" s="23" t="s">
        <v>510</v>
      </c>
    </row>
    <row r="27" spans="1:3" ht="12.75">
      <c r="A27" s="19" t="s">
        <v>1267</v>
      </c>
      <c r="B27" s="87" t="s">
        <v>879</v>
      </c>
      <c r="C27" s="23"/>
    </row>
    <row r="28" spans="1:3" ht="12.75">
      <c r="A28" s="19" t="s">
        <v>1268</v>
      </c>
      <c r="B28" s="87" t="s">
        <v>879</v>
      </c>
      <c r="C28" s="23"/>
    </row>
    <row r="30" spans="1:3" ht="25.5">
      <c r="A30" s="76" t="s">
        <v>1252</v>
      </c>
      <c r="B30" s="74"/>
      <c r="C30" s="23" t="s">
        <v>510</v>
      </c>
    </row>
    <row r="31" spans="1:3" ht="25.5">
      <c r="A31" s="76" t="s">
        <v>1253</v>
      </c>
      <c r="B31" s="74"/>
      <c r="C31" s="23" t="s">
        <v>510</v>
      </c>
    </row>
    <row r="32" spans="1:3" ht="12.75">
      <c r="A32" s="76" t="s">
        <v>1254</v>
      </c>
      <c r="B32" s="74"/>
      <c r="C32" s="23" t="s">
        <v>510</v>
      </c>
    </row>
    <row r="33" spans="1:3" ht="38.25">
      <c r="A33" s="76" t="s">
        <v>1255</v>
      </c>
      <c r="B33" s="74"/>
      <c r="C33" s="23" t="s">
        <v>510</v>
      </c>
    </row>
    <row r="34" spans="1:3" ht="51">
      <c r="A34" s="76" t="s">
        <v>1256</v>
      </c>
      <c r="B34" s="74"/>
      <c r="C34" s="23" t="s">
        <v>510</v>
      </c>
    </row>
    <row r="35" spans="1:3" ht="51">
      <c r="A35" s="76" t="s">
        <v>1257</v>
      </c>
      <c r="B35" s="74"/>
      <c r="C35" s="23" t="s">
        <v>510</v>
      </c>
    </row>
    <row r="36" spans="1:3" ht="25.5">
      <c r="A36" s="76" t="s">
        <v>1258</v>
      </c>
      <c r="B36" s="74"/>
      <c r="C36" s="23"/>
    </row>
    <row r="38" spans="1:3" ht="12.75">
      <c r="A38" s="120" t="s">
        <v>154</v>
      </c>
      <c r="B38" s="120"/>
      <c r="C38" s="120"/>
    </row>
    <row r="39" spans="1:3" ht="12.75">
      <c r="A39" s="121"/>
      <c r="B39" s="122"/>
      <c r="C39" s="123"/>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4"/>
      <c r="B44" s="125"/>
      <c r="C44" s="126"/>
    </row>
    <row r="45" spans="1:3" ht="12.75">
      <c r="A45" s="124"/>
      <c r="B45" s="125"/>
      <c r="C45" s="126"/>
    </row>
    <row r="46" spans="1:3" ht="12.75">
      <c r="A46" s="124"/>
      <c r="B46" s="125"/>
      <c r="C46" s="126"/>
    </row>
    <row r="47" spans="1:3" ht="12.75">
      <c r="A47" s="124"/>
      <c r="B47" s="125"/>
      <c r="C47" s="126"/>
    </row>
    <row r="48" spans="1:3" ht="12.75">
      <c r="A48" s="127"/>
      <c r="B48" s="128"/>
      <c r="C48" s="129"/>
    </row>
  </sheetData>
  <mergeCells count="2">
    <mergeCell ref="A38:C38"/>
    <mergeCell ref="A39:C48"/>
  </mergeCells>
  <dataValidations count="8">
    <dataValidation errorStyle="warning" type="list" allowBlank="1" showInputMessage="1" showErrorMessage="1" sqref="B5">
      <formula1>Maintenance_Plant</formula1>
    </dataValidation>
    <dataValidation errorStyle="warning" type="list" allowBlank="1" showInputMessage="1" showErrorMessage="1" sqref="B6">
      <formula1>Area_Level_3</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6">
      <formula1>SERVICE_MEDIUM_2</formula1>
    </dataValidation>
    <dataValidation type="list" allowBlank="1" showInputMessage="1" showErrorMessage="1" sqref="B30:B35">
      <formula1>YES_NO</formula1>
    </dataValidation>
    <dataValidation allowBlank="1" showInputMessage="1" showErrorMessage="1" sqref="B20:B25 B27:B28"/>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E41"/>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258</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19" t="s">
        <v>424</v>
      </c>
      <c r="B20" s="87" t="s">
        <v>879</v>
      </c>
      <c r="C20" s="23"/>
    </row>
    <row r="21" spans="1:3" ht="12.75">
      <c r="A21" s="19" t="s">
        <v>351</v>
      </c>
      <c r="B21" s="87" t="s">
        <v>879</v>
      </c>
      <c r="C21" s="23" t="s">
        <v>510</v>
      </c>
    </row>
    <row r="23" spans="1:3" ht="25.5">
      <c r="A23" s="76" t="s">
        <v>1252</v>
      </c>
      <c r="B23" s="74"/>
      <c r="C23" s="23" t="s">
        <v>510</v>
      </c>
    </row>
    <row r="24" spans="1:3" ht="25.5">
      <c r="A24" s="76" t="s">
        <v>1253</v>
      </c>
      <c r="B24" s="74"/>
      <c r="C24" s="23" t="s">
        <v>510</v>
      </c>
    </row>
    <row r="25" spans="1:3" ht="12.75">
      <c r="A25" s="76" t="s">
        <v>1254</v>
      </c>
      <c r="B25" s="74"/>
      <c r="C25" s="23" t="s">
        <v>510</v>
      </c>
    </row>
    <row r="26" spans="1:3" ht="38.25">
      <c r="A26" s="76" t="s">
        <v>1255</v>
      </c>
      <c r="B26" s="74"/>
      <c r="C26" s="23" t="s">
        <v>510</v>
      </c>
    </row>
    <row r="27" spans="1:3" ht="51">
      <c r="A27" s="76" t="s">
        <v>1256</v>
      </c>
      <c r="B27" s="74"/>
      <c r="C27" s="23" t="s">
        <v>510</v>
      </c>
    </row>
    <row r="28" spans="1:3" ht="51">
      <c r="A28" s="76" t="s">
        <v>1257</v>
      </c>
      <c r="B28" s="74"/>
      <c r="C28" s="23" t="s">
        <v>510</v>
      </c>
    </row>
    <row r="29" spans="1:3" ht="25.5">
      <c r="A29" s="76" t="s">
        <v>1258</v>
      </c>
      <c r="B29" s="74"/>
      <c r="C29" s="23"/>
    </row>
    <row r="31" spans="1:3" ht="12.75">
      <c r="A31" s="120" t="s">
        <v>154</v>
      </c>
      <c r="B31" s="120"/>
      <c r="C31" s="120"/>
    </row>
    <row r="32" spans="1:3" ht="12.75">
      <c r="A32" s="121"/>
      <c r="B32" s="122"/>
      <c r="C32" s="123"/>
    </row>
    <row r="33" spans="1:3" ht="12.75">
      <c r="A33" s="124"/>
      <c r="B33" s="125"/>
      <c r="C33" s="126"/>
    </row>
    <row r="34" spans="1:3" ht="12.75">
      <c r="A34" s="124"/>
      <c r="B34" s="125"/>
      <c r="C34" s="126"/>
    </row>
    <row r="35" spans="1:3" ht="12.75">
      <c r="A35" s="124"/>
      <c r="B35" s="125"/>
      <c r="C35" s="126"/>
    </row>
    <row r="36" spans="1:3" ht="12.75">
      <c r="A36" s="124"/>
      <c r="B36" s="125"/>
      <c r="C36" s="126"/>
    </row>
    <row r="37" spans="1:3" ht="12.75">
      <c r="A37" s="124"/>
      <c r="B37" s="125"/>
      <c r="C37" s="126"/>
    </row>
    <row r="38" spans="1:3" ht="12.75">
      <c r="A38" s="124"/>
      <c r="B38" s="125"/>
      <c r="C38" s="126"/>
    </row>
    <row r="39" spans="1:3" ht="12.75">
      <c r="A39" s="124"/>
      <c r="B39" s="125"/>
      <c r="C39" s="126"/>
    </row>
    <row r="40" spans="1:3" ht="12.75">
      <c r="A40" s="124"/>
      <c r="B40" s="125"/>
      <c r="C40" s="126"/>
    </row>
    <row r="41" spans="1:3" ht="12.75">
      <c r="A41" s="127"/>
      <c r="B41" s="128"/>
      <c r="C41" s="129"/>
    </row>
  </sheetData>
  <mergeCells count="2">
    <mergeCell ref="A31:C31"/>
    <mergeCell ref="A32:C41"/>
  </mergeCells>
  <dataValidations count="8">
    <dataValidation type="list" allowBlank="1" showInputMessage="1" showErrorMessage="1" sqref="B23:B28">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allowBlank="1" showInputMessage="1" showErrorMessage="1" sqref="B20"/>
    <dataValidation errorStyle="warning" type="list" allowBlank="1" showInputMessage="1" showErrorMessage="1" sqref="B21">
      <formula1>SERVICE_MEDIUM_2</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E4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183</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5" t="s">
        <v>424</v>
      </c>
      <c r="B21" s="87" t="s">
        <v>879</v>
      </c>
      <c r="C21" s="23"/>
    </row>
    <row r="22" spans="1:3" ht="12.75">
      <c r="A22" s="5" t="s">
        <v>382</v>
      </c>
      <c r="B22" s="87" t="s">
        <v>879</v>
      </c>
      <c r="C22" s="23"/>
    </row>
    <row r="24" spans="1:3" ht="25.5">
      <c r="A24" s="76" t="s">
        <v>1252</v>
      </c>
      <c r="B24" s="74"/>
      <c r="C24" s="23" t="s">
        <v>510</v>
      </c>
    </row>
    <row r="25" spans="1:3" ht="25.5">
      <c r="A25" s="76" t="s">
        <v>1253</v>
      </c>
      <c r="B25" s="74"/>
      <c r="C25" s="23" t="s">
        <v>510</v>
      </c>
    </row>
    <row r="26" spans="1:3" ht="12.75">
      <c r="A26" s="76" t="s">
        <v>1254</v>
      </c>
      <c r="B26" s="74"/>
      <c r="C26" s="23" t="s">
        <v>510</v>
      </c>
    </row>
    <row r="27" spans="1:3" ht="38.25">
      <c r="A27" s="76" t="s">
        <v>1255</v>
      </c>
      <c r="B27" s="74"/>
      <c r="C27" s="23" t="s">
        <v>510</v>
      </c>
    </row>
    <row r="28" spans="1:3" ht="51">
      <c r="A28" s="76" t="s">
        <v>1256</v>
      </c>
      <c r="B28" s="74"/>
      <c r="C28" s="23" t="s">
        <v>510</v>
      </c>
    </row>
    <row r="29" spans="1:3" ht="51">
      <c r="A29" s="76" t="s">
        <v>1257</v>
      </c>
      <c r="B29" s="74"/>
      <c r="C29" s="23" t="s">
        <v>510</v>
      </c>
    </row>
    <row r="30" spans="1:3" ht="25.5">
      <c r="A30" s="76" t="s">
        <v>1258</v>
      </c>
      <c r="B30" s="74"/>
      <c r="C30" s="23"/>
    </row>
    <row r="32" spans="1:3" ht="12.75">
      <c r="A32" s="120" t="s">
        <v>154</v>
      </c>
      <c r="B32" s="120"/>
      <c r="C32" s="120"/>
    </row>
    <row r="33" spans="1:3" ht="12.75">
      <c r="A33" s="121"/>
      <c r="B33" s="122"/>
      <c r="C33" s="123"/>
    </row>
    <row r="34" spans="1:3" ht="12.75">
      <c r="A34" s="124"/>
      <c r="B34" s="125"/>
      <c r="C34" s="126"/>
    </row>
    <row r="35" spans="1:3" ht="12.75">
      <c r="A35" s="124"/>
      <c r="B35" s="125"/>
      <c r="C35" s="126"/>
    </row>
    <row r="36" spans="1:3" ht="12.75">
      <c r="A36" s="124"/>
      <c r="B36" s="125"/>
      <c r="C36" s="126"/>
    </row>
    <row r="37" spans="1:3" ht="12.75">
      <c r="A37" s="124"/>
      <c r="B37" s="125"/>
      <c r="C37" s="126"/>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7"/>
      <c r="B42" s="128"/>
      <c r="C42" s="129"/>
    </row>
  </sheetData>
  <mergeCells count="2">
    <mergeCell ref="A32:C32"/>
    <mergeCell ref="A33:C42"/>
  </mergeCells>
  <dataValidations count="7">
    <dataValidation type="list" allowBlank="1" showInputMessage="1" showErrorMessage="1" sqref="B24:B29">
      <formula1>YES_NO</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5.xml><?xml version="1.0" encoding="utf-8"?>
<worksheet xmlns="http://schemas.openxmlformats.org/spreadsheetml/2006/main" xmlns:r="http://schemas.openxmlformats.org/officeDocument/2006/relationships">
  <sheetPr>
    <tabColor indexed="30"/>
  </sheetPr>
  <dimension ref="A1:E35"/>
  <sheetViews>
    <sheetView workbookViewId="0" topLeftCell="A1">
      <selection activeCell="A1" sqref="A1"/>
    </sheetView>
  </sheetViews>
  <sheetFormatPr defaultColWidth="9.140625" defaultRowHeight="12.75"/>
  <cols>
    <col min="1" max="1" width="57.140625" style="95" bestFit="1" customWidth="1"/>
    <col min="2" max="3" width="9.140625" style="95" customWidth="1"/>
    <col min="4" max="4" width="13.00390625" style="95" bestFit="1" customWidth="1"/>
    <col min="5" max="16384" width="9.140625" style="95" customWidth="1"/>
  </cols>
  <sheetData>
    <row r="1" ht="15.75">
      <c r="A1" s="94" t="s">
        <v>823</v>
      </c>
    </row>
    <row r="2" ht="12.75">
      <c r="A2" s="103"/>
    </row>
    <row r="3" ht="15.75">
      <c r="A3" s="104" t="s">
        <v>1323</v>
      </c>
    </row>
    <row r="4" ht="15.75">
      <c r="A4" s="104"/>
    </row>
    <row r="5" ht="12.75">
      <c r="A5" s="96" t="s">
        <v>1316</v>
      </c>
    </row>
    <row r="6" ht="12.75">
      <c r="A6" s="96" t="s">
        <v>826</v>
      </c>
    </row>
    <row r="7" ht="12.75">
      <c r="A7" s="96" t="s">
        <v>1251</v>
      </c>
    </row>
    <row r="8" ht="12.75">
      <c r="A8" s="96" t="s">
        <v>824</v>
      </c>
    </row>
    <row r="9" ht="12.75">
      <c r="A9" s="96" t="s">
        <v>825</v>
      </c>
    </row>
    <row r="10" ht="12.75">
      <c r="A10" s="96" t="s">
        <v>1314</v>
      </c>
    </row>
    <row r="11" ht="12.75">
      <c r="A11" s="96"/>
    </row>
    <row r="12" ht="12.75">
      <c r="A12" s="96"/>
    </row>
    <row r="13" ht="12.75">
      <c r="A13" s="103" t="s">
        <v>1322</v>
      </c>
    </row>
    <row r="14" ht="12.75">
      <c r="A14" s="98" t="s">
        <v>827</v>
      </c>
    </row>
    <row r="15" ht="12.75">
      <c r="A15" s="99" t="s">
        <v>828</v>
      </c>
    </row>
    <row r="16" ht="12.75">
      <c r="A16" s="100" t="s">
        <v>829</v>
      </c>
    </row>
    <row r="17" ht="12.75">
      <c r="A17" s="101" t="s">
        <v>830</v>
      </c>
    </row>
    <row r="18" ht="12.75">
      <c r="A18" s="102" t="s">
        <v>1303</v>
      </c>
    </row>
    <row r="19" ht="12.75">
      <c r="A19" s="97"/>
    </row>
    <row r="21" spans="1:5" ht="12.75" customHeight="1">
      <c r="A21" s="111" t="s">
        <v>1315</v>
      </c>
      <c r="B21" s="112"/>
      <c r="C21" s="112"/>
      <c r="D21" s="112"/>
      <c r="E21" s="113"/>
    </row>
    <row r="22" spans="1:5" ht="12.75">
      <c r="A22" s="114"/>
      <c r="B22" s="115"/>
      <c r="C22" s="115"/>
      <c r="D22" s="115"/>
      <c r="E22" s="116"/>
    </row>
    <row r="23" spans="1:5" ht="12.75">
      <c r="A23" s="114"/>
      <c r="B23" s="115"/>
      <c r="C23" s="115"/>
      <c r="D23" s="115"/>
      <c r="E23" s="116"/>
    </row>
    <row r="24" spans="1:5" ht="12.75">
      <c r="A24" s="114"/>
      <c r="B24" s="115"/>
      <c r="C24" s="115"/>
      <c r="D24" s="115"/>
      <c r="E24" s="116"/>
    </row>
    <row r="25" spans="1:5" ht="12.75">
      <c r="A25" s="114"/>
      <c r="B25" s="115"/>
      <c r="C25" s="115"/>
      <c r="D25" s="115"/>
      <c r="E25" s="116"/>
    </row>
    <row r="26" spans="1:5" ht="12.75">
      <c r="A26" s="117"/>
      <c r="B26" s="118"/>
      <c r="C26" s="118"/>
      <c r="D26" s="118"/>
      <c r="E26" s="119"/>
    </row>
    <row r="29" ht="12.75">
      <c r="A29" s="93" t="s">
        <v>1318</v>
      </c>
    </row>
    <row r="30" ht="12.75">
      <c r="A30" s="96" t="s">
        <v>1319</v>
      </c>
    </row>
    <row r="31" ht="12.75">
      <c r="A31" s="96" t="s">
        <v>1320</v>
      </c>
    </row>
    <row r="32" ht="12.75">
      <c r="A32" s="96" t="s">
        <v>1321</v>
      </c>
    </row>
    <row r="34" ht="20.25">
      <c r="A34" s="105" t="s">
        <v>1317</v>
      </c>
    </row>
    <row r="35" ht="20.25">
      <c r="A35" s="106" t="s">
        <v>1307</v>
      </c>
    </row>
  </sheetData>
  <mergeCells count="1">
    <mergeCell ref="A21:E26"/>
  </mergeCells>
  <hyperlinks>
    <hyperlink ref="A8" r:id="rId1" display="WCG M&amp;R Functional Location Standard"/>
    <hyperlink ref="A9" r:id="rId2" display="WCG M&amp;R Equipment Standard"/>
    <hyperlink ref="A5" r:id="rId3" display="WCG M&amp;R Tupe Process Package Standard"/>
    <hyperlink ref="A6" r:id="rId4" display="WCG M&amp;R Manufacturer Standard"/>
    <hyperlink ref="A7" r:id="rId5" display="WCG M&amp;R User Status Standard"/>
    <hyperlink ref="A35" location="ca_9707" display="Home Pkg Page"/>
    <hyperlink ref="A10" r:id="rId6" display="Stand-Alone Equipment"/>
    <hyperlink ref="A30" r:id="rId7" display="Local M&amp;R Analyst"/>
    <hyperlink ref="A31" r:id="rId8" display="Lori Doerksen"/>
    <hyperlink ref="A32" r:id="rId9" display="Marlow Watts"/>
    <hyperlink ref="A3" r:id="rId10" display="How to Use Template"/>
  </hyperlinks>
  <printOptions/>
  <pageMargins left="0.75" right="0.75" top="1" bottom="1" header="0.5" footer="0.5"/>
  <pageSetup horizontalDpi="600" verticalDpi="600" orientation="portrait" r:id="rId11"/>
</worksheet>
</file>

<file path=xl/worksheets/sheet50.xml><?xml version="1.0" encoding="utf-8"?>
<worksheet xmlns="http://schemas.openxmlformats.org/spreadsheetml/2006/main" xmlns:r="http://schemas.openxmlformats.org/officeDocument/2006/relationships">
  <sheetPr>
    <pageSetUpPr fitToPage="1"/>
  </sheetPr>
  <dimension ref="A1:E4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4" max="4" width="9.140625" style="1" customWidth="1"/>
    <col min="5" max="5" width="22.421875" style="1" bestFit="1" customWidth="1"/>
    <col min="6" max="16384" width="9.140625" style="1" customWidth="1"/>
  </cols>
  <sheetData>
    <row r="1" spans="1:5" ht="12.75">
      <c r="A1" s="71" t="s">
        <v>0</v>
      </c>
      <c r="B1" s="71" t="s">
        <v>1</v>
      </c>
      <c r="C1" s="71" t="s">
        <v>2</v>
      </c>
      <c r="E1" s="70" t="s">
        <v>1302</v>
      </c>
    </row>
    <row r="2" spans="1:5" ht="12.75">
      <c r="A2" s="72" t="s">
        <v>3</v>
      </c>
      <c r="B2" s="3"/>
      <c r="C2" s="72"/>
      <c r="E2" s="84" t="s">
        <v>1304</v>
      </c>
    </row>
    <row r="3" spans="1:3" ht="12.75">
      <c r="A3" s="72" t="s">
        <v>4</v>
      </c>
      <c r="B3" s="4" t="s">
        <v>187</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89" t="s">
        <v>879</v>
      </c>
      <c r="C14" s="72"/>
    </row>
    <row r="15" spans="1:3" ht="12.75">
      <c r="A15" s="72" t="s">
        <v>15</v>
      </c>
      <c r="B15" s="89" t="s">
        <v>879</v>
      </c>
      <c r="C15" s="72"/>
    </row>
    <row r="16" spans="1:3" ht="12.75">
      <c r="A16" s="72" t="s">
        <v>16</v>
      </c>
      <c r="B16" s="90" t="s">
        <v>879</v>
      </c>
      <c r="C16" s="72"/>
    </row>
    <row r="17" spans="1:3" ht="12.75">
      <c r="A17" s="72" t="s">
        <v>17</v>
      </c>
      <c r="B17" s="91" t="s">
        <v>879</v>
      </c>
      <c r="C17" s="72"/>
    </row>
    <row r="18" spans="1:3" ht="12.75">
      <c r="A18" s="72" t="s">
        <v>88</v>
      </c>
      <c r="B18" s="90" t="s">
        <v>879</v>
      </c>
      <c r="C18" s="72"/>
    </row>
    <row r="19" spans="1:3" ht="12.75">
      <c r="A19" s="72" t="s">
        <v>93</v>
      </c>
      <c r="B19" s="90" t="s">
        <v>879</v>
      </c>
      <c r="C19" s="72"/>
    </row>
    <row r="20" spans="1:3" ht="12.75">
      <c r="A20" s="5" t="s">
        <v>19</v>
      </c>
      <c r="B20" s="87" t="s">
        <v>879</v>
      </c>
      <c r="C20" s="23" t="s">
        <v>510</v>
      </c>
    </row>
    <row r="21" spans="1:3" ht="12.75">
      <c r="A21" s="19" t="s">
        <v>21</v>
      </c>
      <c r="B21" s="87" t="s">
        <v>879</v>
      </c>
      <c r="C21" s="23" t="s">
        <v>510</v>
      </c>
    </row>
    <row r="22" spans="1:3" ht="12.75">
      <c r="A22" s="19" t="s">
        <v>351</v>
      </c>
      <c r="B22" s="87" t="s">
        <v>879</v>
      </c>
      <c r="C22" s="23" t="s">
        <v>510</v>
      </c>
    </row>
    <row r="24" spans="1:3" ht="25.5">
      <c r="A24" s="76" t="s">
        <v>1252</v>
      </c>
      <c r="B24" s="74"/>
      <c r="C24" s="23" t="s">
        <v>510</v>
      </c>
    </row>
    <row r="25" spans="1:3" ht="25.5">
      <c r="A25" s="76" t="s">
        <v>1253</v>
      </c>
      <c r="B25" s="74"/>
      <c r="C25" s="23" t="s">
        <v>510</v>
      </c>
    </row>
    <row r="26" spans="1:3" ht="12.75">
      <c r="A26" s="76" t="s">
        <v>1254</v>
      </c>
      <c r="B26" s="74"/>
      <c r="C26" s="23" t="s">
        <v>510</v>
      </c>
    </row>
    <row r="27" spans="1:3" ht="38.25">
      <c r="A27" s="76" t="s">
        <v>1255</v>
      </c>
      <c r="B27" s="74"/>
      <c r="C27" s="23" t="s">
        <v>510</v>
      </c>
    </row>
    <row r="28" spans="1:3" ht="51">
      <c r="A28" s="76" t="s">
        <v>1256</v>
      </c>
      <c r="B28" s="74"/>
      <c r="C28" s="23" t="s">
        <v>510</v>
      </c>
    </row>
    <row r="29" spans="1:3" ht="51">
      <c r="A29" s="76" t="s">
        <v>1257</v>
      </c>
      <c r="B29" s="74"/>
      <c r="C29" s="23" t="s">
        <v>510</v>
      </c>
    </row>
    <row r="30" spans="1:3" ht="25.5">
      <c r="A30" s="76" t="s">
        <v>1258</v>
      </c>
      <c r="B30" s="74"/>
      <c r="C30" s="23"/>
    </row>
    <row r="32" spans="1:3" ht="12.75">
      <c r="A32" s="120" t="s">
        <v>154</v>
      </c>
      <c r="B32" s="120"/>
      <c r="C32" s="120"/>
    </row>
    <row r="33" spans="1:3" ht="12.75">
      <c r="A33" s="121"/>
      <c r="B33" s="122"/>
      <c r="C33" s="123"/>
    </row>
    <row r="34" spans="1:3" ht="12.75">
      <c r="A34" s="124"/>
      <c r="B34" s="125"/>
      <c r="C34" s="126"/>
    </row>
    <row r="35" spans="1:3" ht="12.75">
      <c r="A35" s="124"/>
      <c r="B35" s="125"/>
      <c r="C35" s="126"/>
    </row>
    <row r="36" spans="1:3" ht="12.75">
      <c r="A36" s="124"/>
      <c r="B36" s="125"/>
      <c r="C36" s="126"/>
    </row>
    <row r="37" spans="1:3" ht="12.75">
      <c r="A37" s="124"/>
      <c r="B37" s="125"/>
      <c r="C37" s="126"/>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7"/>
      <c r="B42" s="128"/>
      <c r="C42" s="129"/>
    </row>
  </sheetData>
  <mergeCells count="2">
    <mergeCell ref="A32:C32"/>
    <mergeCell ref="A33:C42"/>
  </mergeCells>
  <dataValidations count="9">
    <dataValidation type="list" allowBlank="1" showInputMessage="1" showErrorMessage="1" sqref="B24:B29">
      <formula1>YES_NO</formula1>
    </dataValidation>
    <dataValidation errorStyle="warning" type="list" allowBlank="1" showInputMessage="1" showErrorMessage="1" sqref="B21">
      <formula1>POWER_SOURCE</formula1>
    </dataValidation>
    <dataValidation errorStyle="warning" type="list" allowBlank="1" showInputMessage="1" showErrorMessage="1" sqref="B22">
      <formula1>SERVICE_MEDIUM_2</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 errorStyle="warning" type="list" allowBlank="1" showInputMessage="1" showErrorMessage="1" sqref="B7">
      <formula1>Type_of_Facility</formula1>
    </dataValidation>
    <dataValidation errorStyle="warning" type="list" allowBlank="1" showInputMessage="1" showErrorMessage="1" sqref="B10">
      <formula1>Process</formula1>
    </dataValidation>
    <dataValidation errorStyle="warning" type="list" allowBlank="1" showInputMessage="1" showErrorMessage="1" sqref="B13">
      <formula1>STATUS</formula1>
    </dataValidation>
    <dataValidation errorStyle="warning" type="list" allowBlank="1" showInputMessage="1" showErrorMessage="1" sqref="B20">
      <formula1>Controllable_Asset_Indicator</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51.xml><?xml version="1.0" encoding="utf-8"?>
<worksheet xmlns="http://schemas.openxmlformats.org/spreadsheetml/2006/main" xmlns:r="http://schemas.openxmlformats.org/officeDocument/2006/relationships">
  <dimension ref="A1:F13"/>
  <sheetViews>
    <sheetView workbookViewId="0" topLeftCell="A1">
      <selection activeCell="A1" sqref="A1:B1"/>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known)",CA_1004,2,FALSE)</f>
        <v>10704235</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13">VLOOKUP(A4,CA_1004,2,FALSE)</f>
        <v>Controllable Asset</v>
      </c>
    </row>
    <row r="5" spans="1:6" ht="15.75">
      <c r="A5" s="19" t="s">
        <v>424</v>
      </c>
      <c r="B5" s="20" t="s">
        <v>839</v>
      </c>
      <c r="C5" s="21">
        <v>15</v>
      </c>
      <c r="D5" s="21">
        <v>0</v>
      </c>
      <c r="E5" s="20"/>
      <c r="F5" s="22" t="str">
        <f t="shared" si="0"/>
        <v>/</v>
      </c>
    </row>
    <row r="6" spans="1:6" ht="15.75">
      <c r="A6" s="19" t="s">
        <v>468</v>
      </c>
      <c r="B6" s="20" t="s">
        <v>839</v>
      </c>
      <c r="C6" s="21">
        <v>15</v>
      </c>
      <c r="D6" s="21">
        <v>0</v>
      </c>
      <c r="E6" s="20"/>
      <c r="F6" s="22" t="str">
        <f t="shared" si="0"/>
        <v>/</v>
      </c>
    </row>
    <row r="7" spans="1:6" ht="15.75">
      <c r="A7" s="19" t="s">
        <v>432</v>
      </c>
      <c r="B7" s="20" t="s">
        <v>839</v>
      </c>
      <c r="C7" s="21">
        <v>15</v>
      </c>
      <c r="D7" s="21">
        <v>0</v>
      </c>
      <c r="E7" s="20"/>
      <c r="F7" s="22" t="str">
        <f t="shared" si="0"/>
        <v>/</v>
      </c>
    </row>
    <row r="8" spans="1:6" ht="15.75">
      <c r="A8" s="19" t="s">
        <v>119</v>
      </c>
      <c r="B8" s="20" t="s">
        <v>839</v>
      </c>
      <c r="C8" s="21">
        <v>15</v>
      </c>
      <c r="D8" s="21">
        <v>0</v>
      </c>
      <c r="E8" s="20"/>
      <c r="F8" s="22" t="str">
        <f t="shared" si="0"/>
        <v>Conoco Phillips 100%</v>
      </c>
    </row>
    <row r="9" spans="1:6" ht="15.75">
      <c r="A9" s="19" t="s">
        <v>469</v>
      </c>
      <c r="B9" s="20" t="s">
        <v>839</v>
      </c>
      <c r="C9" s="21">
        <v>15</v>
      </c>
      <c r="D9" s="21">
        <v>0</v>
      </c>
      <c r="E9" s="20"/>
      <c r="F9" s="22" t="str">
        <f t="shared" si="0"/>
        <v>Shelter Compressor</v>
      </c>
    </row>
    <row r="10" spans="1:6" ht="15.75">
      <c r="A10" s="19" t="s">
        <v>351</v>
      </c>
      <c r="B10" s="20" t="s">
        <v>839</v>
      </c>
      <c r="C10" s="21">
        <v>15</v>
      </c>
      <c r="D10" s="21">
        <v>0</v>
      </c>
      <c r="E10" s="20"/>
      <c r="F10" s="22" t="str">
        <f t="shared" si="0"/>
        <v>/</v>
      </c>
    </row>
    <row r="11" spans="1:6" ht="15.75">
      <c r="A11" s="19" t="s">
        <v>470</v>
      </c>
      <c r="B11" s="20" t="s">
        <v>839</v>
      </c>
      <c r="C11" s="21">
        <v>15</v>
      </c>
      <c r="D11" s="21">
        <v>0</v>
      </c>
      <c r="E11" s="20"/>
      <c r="F11" s="22" t="str">
        <f t="shared" si="0"/>
        <v>/</v>
      </c>
    </row>
    <row r="12" spans="1:6" ht="15.75">
      <c r="A12" s="19" t="s">
        <v>471</v>
      </c>
      <c r="B12" s="20" t="s">
        <v>839</v>
      </c>
      <c r="C12" s="21">
        <v>15</v>
      </c>
      <c r="D12" s="21">
        <v>0</v>
      </c>
      <c r="E12" s="20"/>
      <c r="F12" s="22" t="str">
        <f t="shared" si="0"/>
        <v>Metal</v>
      </c>
    </row>
    <row r="13" spans="1:6" ht="15.75">
      <c r="A13" s="19" t="s">
        <v>472</v>
      </c>
      <c r="B13" s="20" t="s">
        <v>839</v>
      </c>
      <c r="C13" s="21">
        <v>15</v>
      </c>
      <c r="D13" s="21">
        <v>0</v>
      </c>
      <c r="E13" s="20"/>
      <c r="F13"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52.xml><?xml version="1.0" encoding="utf-8"?>
<worksheet xmlns="http://schemas.openxmlformats.org/spreadsheetml/2006/main" xmlns:r="http://schemas.openxmlformats.org/officeDocument/2006/relationships">
  <dimension ref="A1:F27"/>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known)",CA_1210,2,FALSE)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23" t="s">
        <v>420</v>
      </c>
      <c r="B4" s="20" t="s">
        <v>839</v>
      </c>
      <c r="C4" s="21">
        <v>15</v>
      </c>
      <c r="D4" s="21">
        <v>0</v>
      </c>
      <c r="E4" s="20"/>
      <c r="F4" s="22" t="str">
        <f aca="true" t="shared" si="0" ref="F4:F27">VLOOKUP(A4,CA_1210,2,FALSE)</f>
        <v>/</v>
      </c>
    </row>
    <row r="5" spans="1:6" ht="15.75">
      <c r="A5" s="23" t="s">
        <v>421</v>
      </c>
      <c r="B5" s="20" t="s">
        <v>839</v>
      </c>
      <c r="C5" s="21">
        <v>15</v>
      </c>
      <c r="D5" s="21">
        <v>0</v>
      </c>
      <c r="E5" s="20"/>
      <c r="F5" s="22" t="str">
        <f t="shared" si="0"/>
        <v>/</v>
      </c>
    </row>
    <row r="6" spans="1:6" ht="15.75">
      <c r="A6" s="23" t="s">
        <v>422</v>
      </c>
      <c r="B6" s="20" t="s">
        <v>839</v>
      </c>
      <c r="C6" s="21">
        <v>15</v>
      </c>
      <c r="D6" s="21">
        <v>0</v>
      </c>
      <c r="E6" s="20"/>
      <c r="F6" s="22" t="str">
        <f t="shared" si="0"/>
        <v>/</v>
      </c>
    </row>
    <row r="7" spans="1:6" ht="15.75">
      <c r="A7" s="23" t="s">
        <v>492</v>
      </c>
      <c r="B7" s="20" t="s">
        <v>839</v>
      </c>
      <c r="C7" s="21">
        <v>15</v>
      </c>
      <c r="D7" s="21">
        <v>0</v>
      </c>
      <c r="E7" s="20"/>
      <c r="F7" s="22" t="str">
        <f t="shared" si="0"/>
        <v>/</v>
      </c>
    </row>
    <row r="8" spans="1:6" ht="15.75">
      <c r="A8" s="23" t="s">
        <v>424</v>
      </c>
      <c r="B8" s="20" t="s">
        <v>839</v>
      </c>
      <c r="C8" s="21">
        <v>15</v>
      </c>
      <c r="D8" s="21">
        <v>0</v>
      </c>
      <c r="E8" s="20"/>
      <c r="F8" s="22" t="str">
        <f t="shared" si="0"/>
        <v>/</v>
      </c>
    </row>
    <row r="9" spans="1:6" ht="15.75">
      <c r="A9" s="23" t="s">
        <v>493</v>
      </c>
      <c r="B9" s="20" t="s">
        <v>839</v>
      </c>
      <c r="C9" s="21">
        <v>15</v>
      </c>
      <c r="D9" s="21">
        <v>0</v>
      </c>
      <c r="E9" s="20"/>
      <c r="F9" s="22" t="str">
        <f t="shared" si="0"/>
        <v>/</v>
      </c>
    </row>
    <row r="10" spans="1:6" ht="15.75">
      <c r="A10" s="23" t="s">
        <v>436</v>
      </c>
      <c r="B10" s="20" t="s">
        <v>839</v>
      </c>
      <c r="C10" s="21">
        <v>15</v>
      </c>
      <c r="D10" s="21">
        <v>0</v>
      </c>
      <c r="E10" s="20"/>
      <c r="F10" s="22" t="str">
        <f t="shared" si="0"/>
        <v>/</v>
      </c>
    </row>
    <row r="11" spans="1:6" ht="15.75">
      <c r="A11" s="23" t="s">
        <v>426</v>
      </c>
      <c r="B11" s="20" t="s">
        <v>839</v>
      </c>
      <c r="C11" s="21">
        <v>15</v>
      </c>
      <c r="D11" s="21">
        <v>0</v>
      </c>
      <c r="E11" s="20"/>
      <c r="F11" s="22" t="str">
        <f t="shared" si="0"/>
        <v>/</v>
      </c>
    </row>
    <row r="12" spans="1:6" ht="15.75">
      <c r="A12" s="23" t="s">
        <v>428</v>
      </c>
      <c r="B12" s="20" t="s">
        <v>839</v>
      </c>
      <c r="C12" s="21">
        <v>15</v>
      </c>
      <c r="D12" s="21">
        <v>0</v>
      </c>
      <c r="E12" s="20"/>
      <c r="F12" s="22" t="str">
        <f t="shared" si="0"/>
        <v>/</v>
      </c>
    </row>
    <row r="13" spans="1:6" ht="15.75">
      <c r="A13" s="23" t="s">
        <v>494</v>
      </c>
      <c r="B13" s="20" t="s">
        <v>839</v>
      </c>
      <c r="C13" s="21">
        <v>15</v>
      </c>
      <c r="D13" s="21">
        <v>0</v>
      </c>
      <c r="E13" s="20"/>
      <c r="F13" s="22" t="str">
        <f t="shared" si="0"/>
        <v>/</v>
      </c>
    </row>
    <row r="14" spans="1:6" ht="15.75">
      <c r="A14" s="23" t="s">
        <v>430</v>
      </c>
      <c r="B14" s="20" t="s">
        <v>839</v>
      </c>
      <c r="C14" s="21">
        <v>15</v>
      </c>
      <c r="D14" s="21">
        <v>0</v>
      </c>
      <c r="E14" s="20"/>
      <c r="F14" s="22" t="str">
        <f t="shared" si="0"/>
        <v>/</v>
      </c>
    </row>
    <row r="15" spans="1:6" ht="15.75">
      <c r="A15" s="23" t="s">
        <v>495</v>
      </c>
      <c r="B15" s="20" t="s">
        <v>839</v>
      </c>
      <c r="C15" s="21">
        <v>15</v>
      </c>
      <c r="D15" s="21">
        <v>0</v>
      </c>
      <c r="E15" s="20"/>
      <c r="F15" s="22" t="str">
        <f t="shared" si="0"/>
        <v>/</v>
      </c>
    </row>
    <row r="16" spans="1:6" ht="15.75">
      <c r="A16" s="23" t="s">
        <v>496</v>
      </c>
      <c r="B16" s="20" t="s">
        <v>839</v>
      </c>
      <c r="C16" s="21">
        <v>15</v>
      </c>
      <c r="D16" s="21">
        <v>0</v>
      </c>
      <c r="E16" s="20"/>
      <c r="F16" s="22" t="str">
        <f t="shared" si="0"/>
        <v>/</v>
      </c>
    </row>
    <row r="17" spans="1:6" ht="15.75">
      <c r="A17" s="23" t="s">
        <v>497</v>
      </c>
      <c r="B17" s="20" t="s">
        <v>839</v>
      </c>
      <c r="C17" s="21">
        <v>15</v>
      </c>
      <c r="D17" s="21">
        <v>0</v>
      </c>
      <c r="E17" s="20"/>
      <c r="F17" s="22" t="str">
        <f t="shared" si="0"/>
        <v>/</v>
      </c>
    </row>
    <row r="18" spans="1:6" ht="15.75">
      <c r="A18" s="23" t="s">
        <v>498</v>
      </c>
      <c r="B18" s="20" t="s">
        <v>839</v>
      </c>
      <c r="C18" s="21">
        <v>15</v>
      </c>
      <c r="D18" s="21">
        <v>0</v>
      </c>
      <c r="E18" s="20"/>
      <c r="F18" s="22" t="str">
        <f t="shared" si="0"/>
        <v>/</v>
      </c>
    </row>
    <row r="19" spans="1:6" ht="15.75">
      <c r="A19" s="23" t="s">
        <v>437</v>
      </c>
      <c r="B19" s="20" t="s">
        <v>839</v>
      </c>
      <c r="C19" s="21">
        <v>15</v>
      </c>
      <c r="D19" s="21">
        <v>0</v>
      </c>
      <c r="E19" s="20"/>
      <c r="F19" s="22" t="str">
        <f t="shared" si="0"/>
        <v>/</v>
      </c>
    </row>
    <row r="20" spans="1:6" ht="15.75">
      <c r="A20" s="23" t="s">
        <v>499</v>
      </c>
      <c r="B20" s="20" t="s">
        <v>839</v>
      </c>
      <c r="C20" s="21">
        <v>15</v>
      </c>
      <c r="D20" s="21">
        <v>0</v>
      </c>
      <c r="E20" s="20"/>
      <c r="F20" s="22" t="str">
        <f t="shared" si="0"/>
        <v>/</v>
      </c>
    </row>
    <row r="21" spans="1:6" ht="15.75">
      <c r="A21" s="23" t="s">
        <v>433</v>
      </c>
      <c r="B21" s="20" t="s">
        <v>839</v>
      </c>
      <c r="C21" s="21">
        <v>15</v>
      </c>
      <c r="D21" s="21">
        <v>0</v>
      </c>
      <c r="E21" s="20"/>
      <c r="F21" s="22" t="str">
        <f t="shared" si="0"/>
        <v>/</v>
      </c>
    </row>
    <row r="22" spans="1:6" ht="15.75">
      <c r="A22" s="23" t="s">
        <v>500</v>
      </c>
      <c r="B22" s="20" t="s">
        <v>839</v>
      </c>
      <c r="C22" s="21">
        <v>15</v>
      </c>
      <c r="D22" s="21">
        <v>0</v>
      </c>
      <c r="E22" s="20"/>
      <c r="F22" s="22" t="str">
        <f t="shared" si="0"/>
        <v>/</v>
      </c>
    </row>
    <row r="23" spans="1:6" ht="15.75">
      <c r="A23" s="23" t="s">
        <v>502</v>
      </c>
      <c r="B23" s="20" t="s">
        <v>839</v>
      </c>
      <c r="C23" s="21">
        <v>15</v>
      </c>
      <c r="D23" s="21">
        <v>0</v>
      </c>
      <c r="E23" s="20"/>
      <c r="F23" s="22" t="str">
        <f t="shared" si="0"/>
        <v>/</v>
      </c>
    </row>
    <row r="24" spans="1:6" ht="15.75">
      <c r="A24" s="23" t="s">
        <v>503</v>
      </c>
      <c r="B24" s="20" t="s">
        <v>839</v>
      </c>
      <c r="C24" s="21">
        <v>15</v>
      </c>
      <c r="D24" s="21">
        <v>0</v>
      </c>
      <c r="E24" s="20"/>
      <c r="F24" s="22" t="str">
        <f t="shared" si="0"/>
        <v>/</v>
      </c>
    </row>
    <row r="25" spans="1:6" ht="15.75">
      <c r="A25" s="23" t="s">
        <v>119</v>
      </c>
      <c r="B25" s="20" t="s">
        <v>839</v>
      </c>
      <c r="C25" s="21">
        <v>15</v>
      </c>
      <c r="D25" s="21">
        <v>0</v>
      </c>
      <c r="E25" s="20"/>
      <c r="F25" s="22" t="str">
        <f t="shared" si="0"/>
        <v>/</v>
      </c>
    </row>
    <row r="26" spans="1:6" ht="15.75">
      <c r="A26" s="23" t="s">
        <v>351</v>
      </c>
      <c r="B26" s="20" t="s">
        <v>839</v>
      </c>
      <c r="C26" s="21">
        <v>15</v>
      </c>
      <c r="D26" s="21">
        <v>0</v>
      </c>
      <c r="E26" s="20"/>
      <c r="F26" s="22" t="str">
        <f t="shared" si="0"/>
        <v>/</v>
      </c>
    </row>
    <row r="27" spans="1:6" ht="15.75">
      <c r="A27" s="23" t="s">
        <v>504</v>
      </c>
      <c r="B27" s="20" t="s">
        <v>839</v>
      </c>
      <c r="C27" s="21">
        <v>15</v>
      </c>
      <c r="D27" s="21">
        <v>0</v>
      </c>
      <c r="E27" s="20"/>
      <c r="F27"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53.xml><?xml version="1.0" encoding="utf-8"?>
<worksheet xmlns="http://schemas.openxmlformats.org/spreadsheetml/2006/main" xmlns:r="http://schemas.openxmlformats.org/officeDocument/2006/relationships">
  <dimension ref="A1:F8"/>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known)",ca_1601,2,FALSE)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5" t="s">
        <v>19</v>
      </c>
      <c r="B4" s="20" t="s">
        <v>839</v>
      </c>
      <c r="C4" s="21">
        <v>15</v>
      </c>
      <c r="D4" s="21">
        <v>0</v>
      </c>
      <c r="E4" s="20"/>
      <c r="F4" s="22" t="str">
        <f>VLOOKUP(A4,ca_1601,2,FALSE)</f>
        <v>/</v>
      </c>
    </row>
    <row r="5" spans="1:6" ht="15.75">
      <c r="A5" s="5" t="s">
        <v>119</v>
      </c>
      <c r="B5" s="20" t="s">
        <v>839</v>
      </c>
      <c r="C5" s="21">
        <v>15</v>
      </c>
      <c r="D5" s="21">
        <v>0</v>
      </c>
      <c r="E5" s="20"/>
      <c r="F5" s="22" t="str">
        <f>VLOOKUP(A5,ca_1601,2,FALSE)</f>
        <v>/</v>
      </c>
    </row>
    <row r="6" spans="1:6" ht="15.75">
      <c r="A6" s="5" t="s">
        <v>352</v>
      </c>
      <c r="B6" s="20" t="s">
        <v>839</v>
      </c>
      <c r="C6" s="21">
        <v>15</v>
      </c>
      <c r="D6" s="21">
        <v>0</v>
      </c>
      <c r="E6" s="20"/>
      <c r="F6" s="22" t="e">
        <f>VLOOKUP(A6,ca_1601,2,FALSE)</f>
        <v>#N/A</v>
      </c>
    </row>
    <row r="7" spans="1:6" ht="15.75">
      <c r="A7" s="5" t="s">
        <v>353</v>
      </c>
      <c r="B7" s="20" t="s">
        <v>839</v>
      </c>
      <c r="C7" s="21">
        <v>15</v>
      </c>
      <c r="D7" s="21">
        <v>0</v>
      </c>
      <c r="E7" s="20"/>
      <c r="F7" s="22" t="str">
        <f>VLOOKUP(A7,ca_1601,2,FALSE)</f>
        <v>/</v>
      </c>
    </row>
    <row r="8" spans="1:6" ht="15.75">
      <c r="A8" s="5" t="s">
        <v>354</v>
      </c>
      <c r="B8" s="20" t="s">
        <v>839</v>
      </c>
      <c r="C8" s="21">
        <v>15</v>
      </c>
      <c r="D8" s="21">
        <v>0</v>
      </c>
      <c r="E8" s="20"/>
      <c r="F8" s="22" t="str">
        <f>VLOOKUP(A8,ca_1601,2,FALSE)</f>
        <v>/</v>
      </c>
    </row>
  </sheetData>
  <mergeCells count="3">
    <mergeCell ref="A1:B1"/>
    <mergeCell ref="C1:E1"/>
    <mergeCell ref="A2:E2"/>
  </mergeCells>
  <printOptions/>
  <pageMargins left="0.75" right="0.75" top="1" bottom="1" header="0.5" footer="0.5"/>
  <pageSetup orientation="portrait" paperSize="9"/>
</worksheet>
</file>

<file path=xl/worksheets/sheet54.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known)",CA_1602,2,FALSE)</f>
        <v>10703885</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5" t="s">
        <v>19</v>
      </c>
      <c r="B4" s="20" t="s">
        <v>839</v>
      </c>
      <c r="C4" s="21">
        <v>15</v>
      </c>
      <c r="D4" s="21">
        <v>0</v>
      </c>
      <c r="E4" s="20"/>
      <c r="F4" s="22" t="str">
        <f aca="true" t="shared" si="0" ref="F4:F22">VLOOKUP(A4,CA_1602,2,FALSE)</f>
        <v>Controllable Asset</v>
      </c>
    </row>
    <row r="5" spans="1:6" ht="15.75">
      <c r="A5" s="5" t="s">
        <v>360</v>
      </c>
      <c r="B5" s="20" t="s">
        <v>839</v>
      </c>
      <c r="C5" s="21">
        <v>15</v>
      </c>
      <c r="D5" s="21">
        <v>0</v>
      </c>
      <c r="E5" s="20"/>
      <c r="F5" s="22">
        <f t="shared" si="0"/>
        <v>4.25</v>
      </c>
    </row>
    <row r="6" spans="1:6" ht="15.75">
      <c r="A6" s="5" t="s">
        <v>361</v>
      </c>
      <c r="B6" s="20" t="s">
        <v>839</v>
      </c>
      <c r="C6" s="21">
        <v>15</v>
      </c>
      <c r="D6" s="21">
        <v>0</v>
      </c>
      <c r="E6" s="20"/>
      <c r="F6" s="22">
        <f t="shared" si="0"/>
        <v>0</v>
      </c>
    </row>
    <row r="7" spans="1:6" ht="15.75">
      <c r="A7" s="5" t="s">
        <v>362</v>
      </c>
      <c r="B7" s="20" t="s">
        <v>839</v>
      </c>
      <c r="C7" s="21">
        <v>15</v>
      </c>
      <c r="D7" s="21">
        <v>0</v>
      </c>
      <c r="E7" s="20"/>
      <c r="F7" s="22">
        <f t="shared" si="0"/>
        <v>1200</v>
      </c>
    </row>
    <row r="8" spans="1:6" ht="15.75">
      <c r="A8" s="5" t="s">
        <v>363</v>
      </c>
      <c r="B8" s="20" t="s">
        <v>839</v>
      </c>
      <c r="C8" s="21">
        <v>15</v>
      </c>
      <c r="D8" s="21">
        <v>0</v>
      </c>
      <c r="E8" s="20"/>
      <c r="F8" s="22">
        <f t="shared" si="0"/>
        <v>20000</v>
      </c>
    </row>
    <row r="9" spans="1:6" ht="15.75">
      <c r="A9" s="5" t="s">
        <v>364</v>
      </c>
      <c r="B9" s="20" t="s">
        <v>839</v>
      </c>
      <c r="C9" s="21">
        <v>15</v>
      </c>
      <c r="D9" s="21">
        <v>0</v>
      </c>
      <c r="E9" s="20"/>
      <c r="F9" s="22">
        <f t="shared" si="0"/>
        <v>16000</v>
      </c>
    </row>
    <row r="10" spans="1:6" ht="15.75">
      <c r="A10" s="5" t="s">
        <v>114</v>
      </c>
      <c r="B10" s="20" t="s">
        <v>839</v>
      </c>
      <c r="C10" s="21">
        <v>15</v>
      </c>
      <c r="D10" s="21">
        <v>0</v>
      </c>
      <c r="E10" s="20"/>
      <c r="F10" s="22">
        <f t="shared" si="0"/>
        <v>2</v>
      </c>
    </row>
    <row r="11" spans="1:6" ht="15.75">
      <c r="A11" s="5" t="s">
        <v>365</v>
      </c>
      <c r="B11" s="20" t="s">
        <v>839</v>
      </c>
      <c r="C11" s="21">
        <v>15</v>
      </c>
      <c r="D11" s="21">
        <v>0</v>
      </c>
      <c r="E11" s="20"/>
      <c r="F11" s="22">
        <f t="shared" si="0"/>
        <v>2</v>
      </c>
    </row>
    <row r="12" spans="1:6" ht="15.75">
      <c r="A12" s="5" t="s">
        <v>119</v>
      </c>
      <c r="B12" s="20" t="s">
        <v>839</v>
      </c>
      <c r="C12" s="21">
        <v>15</v>
      </c>
      <c r="D12" s="21">
        <v>0</v>
      </c>
      <c r="E12" s="20"/>
      <c r="F12" s="22" t="str">
        <f t="shared" si="0"/>
        <v>Conoco Phillips 100%</v>
      </c>
    </row>
    <row r="13" spans="1:6" ht="15.75">
      <c r="A13" s="5" t="s">
        <v>366</v>
      </c>
      <c r="B13" s="20" t="s">
        <v>839</v>
      </c>
      <c r="C13" s="21">
        <v>15</v>
      </c>
      <c r="D13" s="21">
        <v>0</v>
      </c>
      <c r="E13" s="20"/>
      <c r="F13" s="22" t="str">
        <f t="shared" si="0"/>
        <v>/</v>
      </c>
    </row>
    <row r="14" spans="1:6" ht="15.75">
      <c r="A14" s="5" t="s">
        <v>368</v>
      </c>
      <c r="B14" s="20" t="s">
        <v>839</v>
      </c>
      <c r="C14" s="21">
        <v>15</v>
      </c>
      <c r="D14" s="21">
        <v>0</v>
      </c>
      <c r="E14" s="20"/>
      <c r="F14" s="22">
        <f t="shared" si="0"/>
        <v>512</v>
      </c>
    </row>
    <row r="15" spans="1:6" ht="15.75">
      <c r="A15" s="5" t="s">
        <v>370</v>
      </c>
      <c r="B15" s="20" t="s">
        <v>839</v>
      </c>
      <c r="C15" s="21">
        <v>15</v>
      </c>
      <c r="D15" s="21">
        <v>0</v>
      </c>
      <c r="E15" s="20"/>
      <c r="F15" s="22" t="str">
        <f t="shared" si="0"/>
        <v>/</v>
      </c>
    </row>
    <row r="16" spans="1:6" ht="15.75">
      <c r="A16" s="5" t="s">
        <v>356</v>
      </c>
      <c r="B16" s="20" t="s">
        <v>839</v>
      </c>
      <c r="C16" s="21">
        <v>15</v>
      </c>
      <c r="D16" s="21">
        <v>0</v>
      </c>
      <c r="E16" s="20"/>
      <c r="F16" s="22" t="str">
        <f t="shared" si="0"/>
        <v>/</v>
      </c>
    </row>
    <row r="17" spans="1:6" ht="15.75">
      <c r="A17" s="5" t="s">
        <v>371</v>
      </c>
      <c r="B17" s="20" t="s">
        <v>839</v>
      </c>
      <c r="C17" s="21">
        <v>15</v>
      </c>
      <c r="D17" s="21">
        <v>0</v>
      </c>
      <c r="E17" s="20"/>
      <c r="F17" s="22" t="str">
        <f t="shared" si="0"/>
        <v>/</v>
      </c>
    </row>
    <row r="18" spans="1:6" ht="15.75">
      <c r="A18" s="5" t="s">
        <v>357</v>
      </c>
      <c r="B18" s="20" t="s">
        <v>839</v>
      </c>
      <c r="C18" s="21">
        <v>15</v>
      </c>
      <c r="D18" s="21">
        <v>0</v>
      </c>
      <c r="E18" s="20"/>
      <c r="F18" s="22" t="str">
        <f t="shared" si="0"/>
        <v>/</v>
      </c>
    </row>
    <row r="19" spans="1:6" ht="15.75">
      <c r="A19" s="5" t="s">
        <v>358</v>
      </c>
      <c r="B19" s="20" t="s">
        <v>839</v>
      </c>
      <c r="C19" s="21">
        <v>15</v>
      </c>
      <c r="D19" s="21">
        <v>0</v>
      </c>
      <c r="E19" s="20"/>
      <c r="F19" s="22" t="str">
        <f t="shared" si="0"/>
        <v>/</v>
      </c>
    </row>
    <row r="20" spans="1:6" ht="15.75">
      <c r="A20" s="5" t="s">
        <v>359</v>
      </c>
      <c r="B20" s="20" t="s">
        <v>839</v>
      </c>
      <c r="C20" s="21">
        <v>15</v>
      </c>
      <c r="D20" s="21">
        <v>0</v>
      </c>
      <c r="E20" s="20"/>
      <c r="F20" s="22" t="str">
        <f t="shared" si="0"/>
        <v>/</v>
      </c>
    </row>
    <row r="21" spans="1:6" ht="15.75">
      <c r="A21" s="5" t="s">
        <v>353</v>
      </c>
      <c r="B21" s="20" t="s">
        <v>839</v>
      </c>
      <c r="C21" s="21">
        <v>15</v>
      </c>
      <c r="D21" s="21">
        <v>0</v>
      </c>
      <c r="E21" s="20"/>
      <c r="F21" s="22" t="str">
        <f t="shared" si="0"/>
        <v>/</v>
      </c>
    </row>
    <row r="22" spans="1:6" ht="15.75">
      <c r="A22" s="5" t="s">
        <v>354</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55.xml><?xml version="1.0" encoding="utf-8"?>
<worksheet xmlns="http://schemas.openxmlformats.org/spreadsheetml/2006/main" xmlns:r="http://schemas.openxmlformats.org/officeDocument/2006/relationships">
  <dimension ref="A1:F16"/>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known)",CA_1603,2,FALSE)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5" t="s">
        <v>19</v>
      </c>
      <c r="B4" s="20" t="s">
        <v>839</v>
      </c>
      <c r="C4" s="21">
        <v>15</v>
      </c>
      <c r="D4" s="21">
        <v>0</v>
      </c>
      <c r="E4" s="20"/>
      <c r="F4" s="22" t="str">
        <f aca="true" t="shared" si="0" ref="F4:F16">VLOOKUP(A4,CA_1603,2,FALSE)</f>
        <v>/</v>
      </c>
    </row>
    <row r="5" spans="1:6" ht="15.75">
      <c r="A5" s="5" t="s">
        <v>374</v>
      </c>
      <c r="B5" s="20" t="s">
        <v>839</v>
      </c>
      <c r="C5" s="21">
        <v>15</v>
      </c>
      <c r="D5" s="21">
        <v>0</v>
      </c>
      <c r="E5" s="20"/>
      <c r="F5" s="22" t="str">
        <f t="shared" si="0"/>
        <v>/</v>
      </c>
    </row>
    <row r="6" spans="1:6" ht="15.75">
      <c r="A6" s="5" t="s">
        <v>119</v>
      </c>
      <c r="B6" s="20" t="s">
        <v>839</v>
      </c>
      <c r="C6" s="21">
        <v>15</v>
      </c>
      <c r="D6" s="21">
        <v>0</v>
      </c>
      <c r="E6" s="20"/>
      <c r="F6" s="22" t="str">
        <f t="shared" si="0"/>
        <v>/</v>
      </c>
    </row>
    <row r="7" spans="1:6" ht="15.75">
      <c r="A7" s="5" t="s">
        <v>376</v>
      </c>
      <c r="B7" s="20" t="s">
        <v>839</v>
      </c>
      <c r="C7" s="21">
        <v>15</v>
      </c>
      <c r="D7" s="21">
        <v>0</v>
      </c>
      <c r="E7" s="20"/>
      <c r="F7" s="22" t="str">
        <f t="shared" si="0"/>
        <v>/</v>
      </c>
    </row>
    <row r="8" spans="1:6" ht="15.75">
      <c r="A8" s="5" t="s">
        <v>377</v>
      </c>
      <c r="B8" s="20" t="s">
        <v>839</v>
      </c>
      <c r="C8" s="21">
        <v>15</v>
      </c>
      <c r="D8" s="21">
        <v>0</v>
      </c>
      <c r="E8" s="20"/>
      <c r="F8" s="22" t="str">
        <f t="shared" si="0"/>
        <v>/</v>
      </c>
    </row>
    <row r="9" spans="1:6" ht="15.75">
      <c r="A9" s="5" t="s">
        <v>378</v>
      </c>
      <c r="B9" s="20" t="s">
        <v>839</v>
      </c>
      <c r="C9" s="21">
        <v>15</v>
      </c>
      <c r="D9" s="21">
        <v>0</v>
      </c>
      <c r="E9" s="20"/>
      <c r="F9" s="22" t="str">
        <f t="shared" si="0"/>
        <v>/</v>
      </c>
    </row>
    <row r="10" spans="1:6" ht="15.75">
      <c r="A10" s="5" t="s">
        <v>379</v>
      </c>
      <c r="B10" s="20" t="s">
        <v>839</v>
      </c>
      <c r="C10" s="21">
        <v>15</v>
      </c>
      <c r="D10" s="21">
        <v>0</v>
      </c>
      <c r="E10" s="20"/>
      <c r="F10" s="22" t="str">
        <f t="shared" si="0"/>
        <v>/</v>
      </c>
    </row>
    <row r="11" spans="1:6" ht="15.75">
      <c r="A11" s="5" t="s">
        <v>380</v>
      </c>
      <c r="B11" s="20" t="s">
        <v>839</v>
      </c>
      <c r="C11" s="21">
        <v>15</v>
      </c>
      <c r="D11" s="21">
        <v>0</v>
      </c>
      <c r="E11" s="20"/>
      <c r="F11" s="22" t="str">
        <f t="shared" si="0"/>
        <v>/</v>
      </c>
    </row>
    <row r="12" spans="1:6" ht="15.75">
      <c r="A12" s="5" t="s">
        <v>372</v>
      </c>
      <c r="B12" s="20" t="s">
        <v>839</v>
      </c>
      <c r="C12" s="21">
        <v>15</v>
      </c>
      <c r="D12" s="21">
        <v>0</v>
      </c>
      <c r="E12" s="20"/>
      <c r="F12" s="22" t="str">
        <f t="shared" si="0"/>
        <v>/</v>
      </c>
    </row>
    <row r="13" spans="1:6" ht="15.75">
      <c r="A13" s="5" t="s">
        <v>373</v>
      </c>
      <c r="B13" s="20" t="s">
        <v>839</v>
      </c>
      <c r="C13" s="21">
        <v>15</v>
      </c>
      <c r="D13" s="21">
        <v>0</v>
      </c>
      <c r="E13" s="20"/>
      <c r="F13" s="22" t="str">
        <f t="shared" si="0"/>
        <v>/</v>
      </c>
    </row>
    <row r="14" spans="1:6" ht="15.75">
      <c r="A14" s="5" t="s">
        <v>358</v>
      </c>
      <c r="B14" s="20" t="s">
        <v>839</v>
      </c>
      <c r="C14" s="21">
        <v>15</v>
      </c>
      <c r="D14" s="21">
        <v>0</v>
      </c>
      <c r="E14" s="20"/>
      <c r="F14" s="22" t="str">
        <f t="shared" si="0"/>
        <v>/</v>
      </c>
    </row>
    <row r="15" spans="1:6" ht="15.75">
      <c r="A15" s="5" t="s">
        <v>353</v>
      </c>
      <c r="B15" s="20" t="s">
        <v>839</v>
      </c>
      <c r="C15" s="21">
        <v>15</v>
      </c>
      <c r="D15" s="21">
        <v>0</v>
      </c>
      <c r="E15" s="20"/>
      <c r="F15" s="22" t="str">
        <f t="shared" si="0"/>
        <v>/</v>
      </c>
    </row>
    <row r="16" spans="1:6" ht="15.75">
      <c r="A16" s="5" t="s">
        <v>354</v>
      </c>
      <c r="B16" s="20" t="s">
        <v>839</v>
      </c>
      <c r="C16" s="21">
        <v>15</v>
      </c>
      <c r="D16" s="21">
        <v>0</v>
      </c>
      <c r="E16" s="20"/>
      <c r="F16"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56.xml><?xml version="1.0" encoding="utf-8"?>
<worksheet xmlns="http://schemas.openxmlformats.org/spreadsheetml/2006/main" xmlns:r="http://schemas.openxmlformats.org/officeDocument/2006/relationships">
  <dimension ref="A1:F8"/>
  <sheetViews>
    <sheetView workbookViewId="0" topLeftCell="A1">
      <selection activeCell="B5" sqref="B5"/>
    </sheetView>
  </sheetViews>
  <sheetFormatPr defaultColWidth="9.140625" defaultRowHeight="12.75"/>
  <cols>
    <col min="6" max="6" width="24.28125" style="0" customWidth="1"/>
  </cols>
  <sheetData>
    <row r="1" spans="1:6" ht="12.75">
      <c r="A1" s="135" t="s">
        <v>831</v>
      </c>
      <c r="B1" s="136"/>
      <c r="C1" s="137" t="s">
        <v>832</v>
      </c>
      <c r="D1" s="138"/>
      <c r="E1" s="139"/>
      <c r="F1" s="16">
        <f>VLOOKUP("SAP Equipment # (if known)",CA_2814,2,FALSE)</f>
        <v>10711619</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19</v>
      </c>
      <c r="B4" s="20" t="s">
        <v>839</v>
      </c>
      <c r="C4" s="21">
        <v>15</v>
      </c>
      <c r="D4" s="21">
        <v>0</v>
      </c>
      <c r="E4" s="20"/>
      <c r="F4" s="22" t="str">
        <f>VLOOKUP(A4,CA_2814,2,FALSE)</f>
        <v>Controllable Asset</v>
      </c>
    </row>
    <row r="5" spans="1:6" ht="15.75">
      <c r="A5" s="5" t="s">
        <v>119</v>
      </c>
      <c r="B5" s="20" t="s">
        <v>839</v>
      </c>
      <c r="C5" s="21">
        <v>15</v>
      </c>
      <c r="D5" s="21">
        <v>0</v>
      </c>
      <c r="E5" s="20"/>
      <c r="F5" s="22" t="str">
        <f>VLOOKUP(A5,CA_2814,2,FALSE)</f>
        <v>Conoco Phillips 100%</v>
      </c>
    </row>
    <row r="6" spans="1:6" ht="15.75">
      <c r="A6" s="5" t="s">
        <v>466</v>
      </c>
      <c r="B6" s="20" t="s">
        <v>839</v>
      </c>
      <c r="C6" s="21">
        <v>15</v>
      </c>
      <c r="D6" s="21">
        <v>0</v>
      </c>
      <c r="E6" s="20"/>
      <c r="F6" s="22" t="str">
        <f>VLOOKUP(A6,CA_2814,2,FALSE)</f>
        <v>Compressor Control</v>
      </c>
    </row>
    <row r="7" spans="1:6" ht="15.75">
      <c r="A7" s="5" t="s">
        <v>464</v>
      </c>
      <c r="B7" s="20" t="s">
        <v>839</v>
      </c>
      <c r="C7" s="21">
        <v>15</v>
      </c>
      <c r="D7" s="21">
        <v>0</v>
      </c>
      <c r="E7" s="20"/>
      <c r="F7" s="22" t="str">
        <f>VLOOKUP(A7,CA_2814,2,FALSE)</f>
        <v>/</v>
      </c>
    </row>
    <row r="8" spans="1:6" ht="15.75">
      <c r="A8" s="5" t="s">
        <v>465</v>
      </c>
      <c r="B8" s="20" t="s">
        <v>839</v>
      </c>
      <c r="C8" s="21">
        <v>15</v>
      </c>
      <c r="D8" s="21">
        <v>0</v>
      </c>
      <c r="E8" s="20"/>
      <c r="F8" s="22" t="str">
        <f>VLOOKUP(A8,CA_2814,2,FALSE)</f>
        <v>PNEUMATIC</v>
      </c>
    </row>
  </sheetData>
  <mergeCells count="3">
    <mergeCell ref="A1:B1"/>
    <mergeCell ref="C1:E1"/>
    <mergeCell ref="A2:E2"/>
  </mergeCells>
  <printOptions/>
  <pageMargins left="0.75" right="0.75" top="1" bottom="1" header="0.5" footer="0.5"/>
  <pageSetup orientation="portrait" paperSize="9"/>
</worksheet>
</file>

<file path=xl/worksheets/sheet57.xml><?xml version="1.0" encoding="utf-8"?>
<worksheet xmlns="http://schemas.openxmlformats.org/spreadsheetml/2006/main" xmlns:r="http://schemas.openxmlformats.org/officeDocument/2006/relationships">
  <dimension ref="A1:G24"/>
  <sheetViews>
    <sheetView workbookViewId="0" topLeftCell="A1">
      <selection activeCell="B5" sqref="B5"/>
    </sheetView>
  </sheetViews>
  <sheetFormatPr defaultColWidth="9.140625" defaultRowHeight="12.75"/>
  <cols>
    <col min="6" max="7" width="18.7109375" style="0" customWidth="1"/>
  </cols>
  <sheetData>
    <row r="1" spans="1:7" ht="12.75">
      <c r="A1" s="135" t="s">
        <v>831</v>
      </c>
      <c r="B1" s="136"/>
      <c r="C1" s="137" t="s">
        <v>832</v>
      </c>
      <c r="D1" s="138"/>
      <c r="E1" s="139"/>
      <c r="F1" s="16">
        <f>VLOOKUP("SAP Equipment # (if known)",CA_3003,2,FALSE)</f>
        <v>0</v>
      </c>
      <c r="G1" s="16">
        <f>VLOOKUP("SAP Equipment # (if known)",CA_3003,3,FALSE)</f>
        <v>0</v>
      </c>
    </row>
    <row r="2" spans="1:7" ht="12.75">
      <c r="A2" s="137" t="s">
        <v>833</v>
      </c>
      <c r="B2" s="138"/>
      <c r="C2" s="138"/>
      <c r="D2" s="138"/>
      <c r="E2" s="139"/>
      <c r="F2" s="16"/>
      <c r="G2" s="16"/>
    </row>
    <row r="3" spans="1:7" ht="25.5">
      <c r="A3" s="17" t="s">
        <v>834</v>
      </c>
      <c r="B3" s="18" t="s">
        <v>835</v>
      </c>
      <c r="C3" s="18" t="s">
        <v>836</v>
      </c>
      <c r="D3" s="18" t="s">
        <v>837</v>
      </c>
      <c r="E3" s="18" t="s">
        <v>838</v>
      </c>
      <c r="F3" s="16"/>
      <c r="G3" s="16"/>
    </row>
    <row r="4" spans="1:7" ht="15.75">
      <c r="A4" s="5" t="s">
        <v>19</v>
      </c>
      <c r="B4" s="20" t="s">
        <v>839</v>
      </c>
      <c r="C4" s="21">
        <v>15</v>
      </c>
      <c r="D4" s="21">
        <v>0</v>
      </c>
      <c r="E4" s="20"/>
      <c r="F4" s="22" t="str">
        <f aca="true" t="shared" si="0" ref="F4:F24">VLOOKUP(A4,CA_3003,2,FALSE)</f>
        <v>/</v>
      </c>
      <c r="G4" s="22" t="str">
        <f>VLOOKUP(A4,CA_3003,3,FALSE)</f>
        <v>/</v>
      </c>
    </row>
    <row r="5" spans="1:7" ht="15.75">
      <c r="A5" s="5" t="s">
        <v>391</v>
      </c>
      <c r="B5" s="20" t="s">
        <v>839</v>
      </c>
      <c r="C5" s="21">
        <v>15</v>
      </c>
      <c r="D5" s="21">
        <v>0</v>
      </c>
      <c r="E5" s="20"/>
      <c r="F5" s="22" t="str">
        <f t="shared" si="0"/>
        <v>/</v>
      </c>
      <c r="G5" s="22" t="str">
        <f aca="true" t="shared" si="1" ref="G5:G24">VLOOKUP(A5,CA_3003,3,FALSE)</f>
        <v>/</v>
      </c>
    </row>
    <row r="6" spans="1:7" ht="15.75">
      <c r="A6" s="5" t="s">
        <v>392</v>
      </c>
      <c r="B6" s="20" t="s">
        <v>839</v>
      </c>
      <c r="C6" s="21">
        <v>15</v>
      </c>
      <c r="D6" s="21">
        <v>0</v>
      </c>
      <c r="E6" s="20"/>
      <c r="F6" s="22" t="str">
        <f t="shared" si="0"/>
        <v>/</v>
      </c>
      <c r="G6" s="22" t="str">
        <f t="shared" si="1"/>
        <v>/</v>
      </c>
    </row>
    <row r="7" spans="1:7" ht="15.75">
      <c r="A7" s="5" t="s">
        <v>393</v>
      </c>
      <c r="B7" s="20" t="s">
        <v>839</v>
      </c>
      <c r="C7" s="21">
        <v>15</v>
      </c>
      <c r="D7" s="21">
        <v>0</v>
      </c>
      <c r="E7" s="20"/>
      <c r="F7" s="22" t="str">
        <f t="shared" si="0"/>
        <v>/</v>
      </c>
      <c r="G7" s="22" t="str">
        <f t="shared" si="1"/>
        <v>/</v>
      </c>
    </row>
    <row r="8" spans="1:7" ht="15.75">
      <c r="A8" s="5" t="s">
        <v>394</v>
      </c>
      <c r="B8" s="20" t="s">
        <v>839</v>
      </c>
      <c r="C8" s="21">
        <v>15</v>
      </c>
      <c r="D8" s="21">
        <v>0</v>
      </c>
      <c r="E8" s="20"/>
      <c r="F8" s="22" t="str">
        <f t="shared" si="0"/>
        <v>/</v>
      </c>
      <c r="G8" s="22" t="str">
        <f t="shared" si="1"/>
        <v>/</v>
      </c>
    </row>
    <row r="9" spans="1:7" ht="15.75">
      <c r="A9" s="5" t="s">
        <v>395</v>
      </c>
      <c r="B9" s="20" t="s">
        <v>839</v>
      </c>
      <c r="C9" s="21">
        <v>15</v>
      </c>
      <c r="D9" s="21">
        <v>0</v>
      </c>
      <c r="E9" s="20"/>
      <c r="F9" s="22" t="str">
        <f t="shared" si="0"/>
        <v>/</v>
      </c>
      <c r="G9" s="22" t="str">
        <f t="shared" si="1"/>
        <v>/</v>
      </c>
    </row>
    <row r="10" spans="1:7" ht="15.75">
      <c r="A10" s="5" t="s">
        <v>396</v>
      </c>
      <c r="B10" s="20" t="s">
        <v>839</v>
      </c>
      <c r="C10" s="21">
        <v>15</v>
      </c>
      <c r="D10" s="21">
        <v>0</v>
      </c>
      <c r="E10" s="20"/>
      <c r="F10" s="22" t="str">
        <f t="shared" si="0"/>
        <v>/</v>
      </c>
      <c r="G10" s="22" t="str">
        <f t="shared" si="1"/>
        <v>/</v>
      </c>
    </row>
    <row r="11" spans="1:7" ht="15.75">
      <c r="A11" s="5" t="s">
        <v>398</v>
      </c>
      <c r="B11" s="20" t="s">
        <v>839</v>
      </c>
      <c r="C11" s="21">
        <v>15</v>
      </c>
      <c r="D11" s="21">
        <v>0</v>
      </c>
      <c r="E11" s="20"/>
      <c r="F11" s="22" t="str">
        <f t="shared" si="0"/>
        <v>/</v>
      </c>
      <c r="G11" s="22" t="str">
        <f t="shared" si="1"/>
        <v>/</v>
      </c>
    </row>
    <row r="12" spans="1:7" ht="15.75">
      <c r="A12" s="5" t="s">
        <v>399</v>
      </c>
      <c r="B12" s="20" t="s">
        <v>839</v>
      </c>
      <c r="C12" s="21">
        <v>15</v>
      </c>
      <c r="D12" s="21">
        <v>0</v>
      </c>
      <c r="E12" s="20"/>
      <c r="F12" s="22" t="str">
        <f t="shared" si="0"/>
        <v>/</v>
      </c>
      <c r="G12" s="22" t="str">
        <f t="shared" si="1"/>
        <v>/</v>
      </c>
    </row>
    <row r="13" spans="1:7" ht="15.75">
      <c r="A13" s="5" t="s">
        <v>383</v>
      </c>
      <c r="B13" s="20" t="s">
        <v>839</v>
      </c>
      <c r="C13" s="21">
        <v>15</v>
      </c>
      <c r="D13" s="21">
        <v>0</v>
      </c>
      <c r="E13" s="20"/>
      <c r="F13" s="22" t="str">
        <f t="shared" si="0"/>
        <v>/</v>
      </c>
      <c r="G13" s="22" t="str">
        <f t="shared" si="1"/>
        <v>/</v>
      </c>
    </row>
    <row r="14" spans="1:7" ht="15.75">
      <c r="A14" s="5" t="s">
        <v>400</v>
      </c>
      <c r="B14" s="20" t="s">
        <v>839</v>
      </c>
      <c r="C14" s="21">
        <v>15</v>
      </c>
      <c r="D14" s="21">
        <v>0</v>
      </c>
      <c r="E14" s="20"/>
      <c r="F14" s="22" t="str">
        <f t="shared" si="0"/>
        <v>/</v>
      </c>
      <c r="G14" s="22" t="str">
        <f t="shared" si="1"/>
        <v>/</v>
      </c>
    </row>
    <row r="15" spans="1:7" ht="15.75">
      <c r="A15" s="5" t="s">
        <v>384</v>
      </c>
      <c r="B15" s="20" t="s">
        <v>839</v>
      </c>
      <c r="C15" s="21">
        <v>15</v>
      </c>
      <c r="D15" s="21">
        <v>0</v>
      </c>
      <c r="E15" s="20"/>
      <c r="F15" s="22" t="str">
        <f t="shared" si="0"/>
        <v>/</v>
      </c>
      <c r="G15" s="22" t="str">
        <f t="shared" si="1"/>
        <v>/</v>
      </c>
    </row>
    <row r="16" spans="1:7" ht="15.75">
      <c r="A16" s="5" t="s">
        <v>119</v>
      </c>
      <c r="B16" s="20" t="s">
        <v>839</v>
      </c>
      <c r="C16" s="21">
        <v>15</v>
      </c>
      <c r="D16" s="21">
        <v>0</v>
      </c>
      <c r="E16" s="20"/>
      <c r="F16" s="22" t="str">
        <f t="shared" si="0"/>
        <v>/</v>
      </c>
      <c r="G16" s="22" t="str">
        <f t="shared" si="1"/>
        <v>/</v>
      </c>
    </row>
    <row r="17" spans="1:7" ht="15.75">
      <c r="A17" s="5" t="s">
        <v>385</v>
      </c>
      <c r="B17" s="20" t="s">
        <v>839</v>
      </c>
      <c r="C17" s="21">
        <v>15</v>
      </c>
      <c r="D17" s="21">
        <v>0</v>
      </c>
      <c r="E17" s="20"/>
      <c r="F17" s="22" t="str">
        <f t="shared" si="0"/>
        <v>/</v>
      </c>
      <c r="G17" s="22" t="str">
        <f t="shared" si="1"/>
        <v>/</v>
      </c>
    </row>
    <row r="18" spans="1:7" ht="15.75">
      <c r="A18" s="5" t="s">
        <v>386</v>
      </c>
      <c r="B18" s="20" t="s">
        <v>839</v>
      </c>
      <c r="C18" s="21">
        <v>15</v>
      </c>
      <c r="D18" s="21">
        <v>0</v>
      </c>
      <c r="E18" s="20"/>
      <c r="F18" s="22" t="str">
        <f t="shared" si="0"/>
        <v>/</v>
      </c>
      <c r="G18" s="22" t="str">
        <f t="shared" si="1"/>
        <v>/</v>
      </c>
    </row>
    <row r="19" spans="1:7" ht="15.75">
      <c r="A19" s="5" t="s">
        <v>387</v>
      </c>
      <c r="B19" s="20" t="s">
        <v>839</v>
      </c>
      <c r="C19" s="21">
        <v>15</v>
      </c>
      <c r="D19" s="21">
        <v>0</v>
      </c>
      <c r="E19" s="20"/>
      <c r="F19" s="22" t="str">
        <f t="shared" si="0"/>
        <v>/</v>
      </c>
      <c r="G19" s="22" t="str">
        <f t="shared" si="1"/>
        <v>/</v>
      </c>
    </row>
    <row r="20" spans="1:7" ht="15.75">
      <c r="A20" s="5" t="s">
        <v>388</v>
      </c>
      <c r="B20" s="20" t="s">
        <v>839</v>
      </c>
      <c r="C20" s="21">
        <v>15</v>
      </c>
      <c r="D20" s="21">
        <v>0</v>
      </c>
      <c r="E20" s="20"/>
      <c r="F20" s="22" t="str">
        <f t="shared" si="0"/>
        <v>/</v>
      </c>
      <c r="G20" s="22" t="str">
        <f t="shared" si="1"/>
        <v>/</v>
      </c>
    </row>
    <row r="21" spans="1:7" ht="15.75">
      <c r="A21" s="5" t="s">
        <v>401</v>
      </c>
      <c r="B21" s="20" t="s">
        <v>839</v>
      </c>
      <c r="C21" s="21">
        <v>15</v>
      </c>
      <c r="D21" s="21">
        <v>0</v>
      </c>
      <c r="E21" s="20"/>
      <c r="F21" s="22" t="str">
        <f t="shared" si="0"/>
        <v>/</v>
      </c>
      <c r="G21" s="22" t="str">
        <f t="shared" si="1"/>
        <v>/</v>
      </c>
    </row>
    <row r="22" spans="1:7" ht="15.75">
      <c r="A22" s="5" t="s">
        <v>389</v>
      </c>
      <c r="B22" s="20" t="s">
        <v>839</v>
      </c>
      <c r="C22" s="21">
        <v>15</v>
      </c>
      <c r="D22" s="21">
        <v>0</v>
      </c>
      <c r="E22" s="20"/>
      <c r="F22" s="22" t="str">
        <f t="shared" si="0"/>
        <v>/</v>
      </c>
      <c r="G22" s="22" t="str">
        <f t="shared" si="1"/>
        <v>/</v>
      </c>
    </row>
    <row r="23" spans="1:7" ht="15.75">
      <c r="A23" s="5" t="s">
        <v>390</v>
      </c>
      <c r="B23" s="20" t="s">
        <v>839</v>
      </c>
      <c r="C23" s="21">
        <v>15</v>
      </c>
      <c r="D23" s="21">
        <v>0</v>
      </c>
      <c r="E23" s="20"/>
      <c r="F23" s="22" t="str">
        <f t="shared" si="0"/>
        <v>/</v>
      </c>
      <c r="G23" s="22" t="str">
        <f t="shared" si="1"/>
        <v>/</v>
      </c>
    </row>
    <row r="24" spans="1:7" ht="15.75">
      <c r="A24" s="5" t="s">
        <v>402</v>
      </c>
      <c r="B24" s="20" t="s">
        <v>839</v>
      </c>
      <c r="C24" s="21">
        <v>15</v>
      </c>
      <c r="D24" s="21">
        <v>0</v>
      </c>
      <c r="E24" s="20"/>
      <c r="F24" s="22" t="str">
        <f t="shared" si="0"/>
        <v>/</v>
      </c>
      <c r="G24" s="22" t="str">
        <f t="shared" si="1"/>
        <v>/</v>
      </c>
    </row>
  </sheetData>
  <mergeCells count="3">
    <mergeCell ref="A1:B1"/>
    <mergeCell ref="C1:E1"/>
    <mergeCell ref="A2:E2"/>
  </mergeCells>
  <printOptions/>
  <pageMargins left="0.75" right="0.75" top="1" bottom="1" header="0.5" footer="0.5"/>
  <pageSetup orientation="portrait" paperSize="9"/>
</worksheet>
</file>

<file path=xl/worksheets/sheet58.xml><?xml version="1.0" encoding="utf-8"?>
<worksheet xmlns="http://schemas.openxmlformats.org/spreadsheetml/2006/main" xmlns:r="http://schemas.openxmlformats.org/officeDocument/2006/relationships">
  <dimension ref="A1:G24"/>
  <sheetViews>
    <sheetView workbookViewId="0" topLeftCell="A1">
      <selection activeCell="B5" sqref="B5"/>
    </sheetView>
  </sheetViews>
  <sheetFormatPr defaultColWidth="9.140625" defaultRowHeight="12.75"/>
  <cols>
    <col min="6" max="7" width="18.7109375" style="0" customWidth="1"/>
  </cols>
  <sheetData>
    <row r="1" spans="1:7" ht="12.75">
      <c r="A1" s="135" t="s">
        <v>831</v>
      </c>
      <c r="B1" s="136"/>
      <c r="C1" s="137" t="s">
        <v>832</v>
      </c>
      <c r="D1" s="138"/>
      <c r="E1" s="139"/>
      <c r="F1" s="16">
        <f>VLOOKUP("SAP Equipment # (if known)",CA_3003,2,FALSE)</f>
        <v>0</v>
      </c>
      <c r="G1" s="16">
        <f>VLOOKUP("SAP Equipment # (if known)",CA_3003,3,FALSE)</f>
        <v>0</v>
      </c>
    </row>
    <row r="2" spans="1:7" ht="12.75">
      <c r="A2" s="137" t="s">
        <v>833</v>
      </c>
      <c r="B2" s="138"/>
      <c r="C2" s="138"/>
      <c r="D2" s="138"/>
      <c r="E2" s="139"/>
      <c r="F2" s="16"/>
      <c r="G2" s="16"/>
    </row>
    <row r="3" spans="1:7" ht="25.5">
      <c r="A3" s="17" t="s">
        <v>834</v>
      </c>
      <c r="B3" s="18" t="s">
        <v>835</v>
      </c>
      <c r="C3" s="18" t="s">
        <v>836</v>
      </c>
      <c r="D3" s="18" t="s">
        <v>837</v>
      </c>
      <c r="E3" s="18" t="s">
        <v>838</v>
      </c>
      <c r="F3" s="16"/>
      <c r="G3" s="16"/>
    </row>
    <row r="4" spans="1:7" ht="15.75">
      <c r="A4" s="5" t="s">
        <v>19</v>
      </c>
      <c r="B4" s="20" t="s">
        <v>839</v>
      </c>
      <c r="C4" s="21">
        <v>15</v>
      </c>
      <c r="D4" s="21">
        <v>0</v>
      </c>
      <c r="E4" s="20"/>
      <c r="F4" s="22" t="str">
        <f aca="true" t="shared" si="0" ref="F4:F24">VLOOKUP(A4,CA_3003,2,FALSE)</f>
        <v>/</v>
      </c>
      <c r="G4" s="22" t="str">
        <f>VLOOKUP(A4,CA_3003,3,FALSE)</f>
        <v>/</v>
      </c>
    </row>
    <row r="5" spans="1:7" ht="15.75">
      <c r="A5" s="5" t="s">
        <v>391</v>
      </c>
      <c r="B5" s="20" t="s">
        <v>839</v>
      </c>
      <c r="C5" s="21">
        <v>15</v>
      </c>
      <c r="D5" s="21">
        <v>0</v>
      </c>
      <c r="E5" s="20"/>
      <c r="F5" s="22" t="str">
        <f t="shared" si="0"/>
        <v>/</v>
      </c>
      <c r="G5" s="22" t="str">
        <f aca="true" t="shared" si="1" ref="G5:G24">VLOOKUP(A5,CA_3003,3,FALSE)</f>
        <v>/</v>
      </c>
    </row>
    <row r="6" spans="1:7" ht="15.75">
      <c r="A6" s="5" t="s">
        <v>392</v>
      </c>
      <c r="B6" s="20" t="s">
        <v>839</v>
      </c>
      <c r="C6" s="21">
        <v>15</v>
      </c>
      <c r="D6" s="21">
        <v>0</v>
      </c>
      <c r="E6" s="20"/>
      <c r="F6" s="22" t="str">
        <f t="shared" si="0"/>
        <v>/</v>
      </c>
      <c r="G6" s="22" t="str">
        <f t="shared" si="1"/>
        <v>/</v>
      </c>
    </row>
    <row r="7" spans="1:7" ht="15.75">
      <c r="A7" s="5" t="s">
        <v>393</v>
      </c>
      <c r="B7" s="20" t="s">
        <v>839</v>
      </c>
      <c r="C7" s="21">
        <v>15</v>
      </c>
      <c r="D7" s="21">
        <v>0</v>
      </c>
      <c r="E7" s="20"/>
      <c r="F7" s="22" t="str">
        <f t="shared" si="0"/>
        <v>/</v>
      </c>
      <c r="G7" s="22" t="str">
        <f t="shared" si="1"/>
        <v>/</v>
      </c>
    </row>
    <row r="8" spans="1:7" ht="15.75">
      <c r="A8" s="5" t="s">
        <v>394</v>
      </c>
      <c r="B8" s="20" t="s">
        <v>839</v>
      </c>
      <c r="C8" s="21">
        <v>15</v>
      </c>
      <c r="D8" s="21">
        <v>0</v>
      </c>
      <c r="E8" s="20"/>
      <c r="F8" s="22" t="str">
        <f t="shared" si="0"/>
        <v>/</v>
      </c>
      <c r="G8" s="22" t="str">
        <f t="shared" si="1"/>
        <v>/</v>
      </c>
    </row>
    <row r="9" spans="1:7" ht="15.75">
      <c r="A9" s="5" t="s">
        <v>395</v>
      </c>
      <c r="B9" s="20" t="s">
        <v>839</v>
      </c>
      <c r="C9" s="21">
        <v>15</v>
      </c>
      <c r="D9" s="21">
        <v>0</v>
      </c>
      <c r="E9" s="20"/>
      <c r="F9" s="22" t="str">
        <f t="shared" si="0"/>
        <v>/</v>
      </c>
      <c r="G9" s="22" t="str">
        <f t="shared" si="1"/>
        <v>/</v>
      </c>
    </row>
    <row r="10" spans="1:7" ht="15.75">
      <c r="A10" s="5" t="s">
        <v>396</v>
      </c>
      <c r="B10" s="20" t="s">
        <v>839</v>
      </c>
      <c r="C10" s="21">
        <v>15</v>
      </c>
      <c r="D10" s="21">
        <v>0</v>
      </c>
      <c r="E10" s="20"/>
      <c r="F10" s="22" t="str">
        <f t="shared" si="0"/>
        <v>/</v>
      </c>
      <c r="G10" s="22" t="str">
        <f t="shared" si="1"/>
        <v>/</v>
      </c>
    </row>
    <row r="11" spans="1:7" ht="15.75">
      <c r="A11" s="5" t="s">
        <v>398</v>
      </c>
      <c r="B11" s="20" t="s">
        <v>839</v>
      </c>
      <c r="C11" s="21">
        <v>15</v>
      </c>
      <c r="D11" s="21">
        <v>0</v>
      </c>
      <c r="E11" s="20"/>
      <c r="F11" s="22" t="str">
        <f t="shared" si="0"/>
        <v>/</v>
      </c>
      <c r="G11" s="22" t="str">
        <f t="shared" si="1"/>
        <v>/</v>
      </c>
    </row>
    <row r="12" spans="1:7" ht="15.75">
      <c r="A12" s="5" t="s">
        <v>399</v>
      </c>
      <c r="B12" s="20" t="s">
        <v>839</v>
      </c>
      <c r="C12" s="21">
        <v>15</v>
      </c>
      <c r="D12" s="21">
        <v>0</v>
      </c>
      <c r="E12" s="20"/>
      <c r="F12" s="22" t="str">
        <f t="shared" si="0"/>
        <v>/</v>
      </c>
      <c r="G12" s="22" t="str">
        <f t="shared" si="1"/>
        <v>/</v>
      </c>
    </row>
    <row r="13" spans="1:7" ht="15.75">
      <c r="A13" s="5" t="s">
        <v>383</v>
      </c>
      <c r="B13" s="20" t="s">
        <v>839</v>
      </c>
      <c r="C13" s="21">
        <v>15</v>
      </c>
      <c r="D13" s="21">
        <v>0</v>
      </c>
      <c r="E13" s="20"/>
      <c r="F13" s="22" t="str">
        <f t="shared" si="0"/>
        <v>/</v>
      </c>
      <c r="G13" s="22" t="str">
        <f t="shared" si="1"/>
        <v>/</v>
      </c>
    </row>
    <row r="14" spans="1:7" ht="15.75">
      <c r="A14" s="5" t="s">
        <v>400</v>
      </c>
      <c r="B14" s="20" t="s">
        <v>839</v>
      </c>
      <c r="C14" s="21">
        <v>15</v>
      </c>
      <c r="D14" s="21">
        <v>0</v>
      </c>
      <c r="E14" s="20"/>
      <c r="F14" s="22" t="str">
        <f t="shared" si="0"/>
        <v>/</v>
      </c>
      <c r="G14" s="22" t="str">
        <f t="shared" si="1"/>
        <v>/</v>
      </c>
    </row>
    <row r="15" spans="1:7" ht="15.75">
      <c r="A15" s="5" t="s">
        <v>384</v>
      </c>
      <c r="B15" s="20" t="s">
        <v>839</v>
      </c>
      <c r="C15" s="21">
        <v>15</v>
      </c>
      <c r="D15" s="21">
        <v>0</v>
      </c>
      <c r="E15" s="20"/>
      <c r="F15" s="22" t="str">
        <f t="shared" si="0"/>
        <v>/</v>
      </c>
      <c r="G15" s="22" t="str">
        <f t="shared" si="1"/>
        <v>/</v>
      </c>
    </row>
    <row r="16" spans="1:7" ht="15.75">
      <c r="A16" s="5" t="s">
        <v>119</v>
      </c>
      <c r="B16" s="20" t="s">
        <v>839</v>
      </c>
      <c r="C16" s="21">
        <v>15</v>
      </c>
      <c r="D16" s="21">
        <v>0</v>
      </c>
      <c r="E16" s="20"/>
      <c r="F16" s="22" t="str">
        <f t="shared" si="0"/>
        <v>/</v>
      </c>
      <c r="G16" s="22" t="str">
        <f t="shared" si="1"/>
        <v>/</v>
      </c>
    </row>
    <row r="17" spans="1:7" ht="15.75">
      <c r="A17" s="5" t="s">
        <v>385</v>
      </c>
      <c r="B17" s="20" t="s">
        <v>839</v>
      </c>
      <c r="C17" s="21">
        <v>15</v>
      </c>
      <c r="D17" s="21">
        <v>0</v>
      </c>
      <c r="E17" s="20"/>
      <c r="F17" s="22" t="str">
        <f t="shared" si="0"/>
        <v>/</v>
      </c>
      <c r="G17" s="22" t="str">
        <f t="shared" si="1"/>
        <v>/</v>
      </c>
    </row>
    <row r="18" spans="1:7" ht="15.75">
      <c r="A18" s="5" t="s">
        <v>386</v>
      </c>
      <c r="B18" s="20" t="s">
        <v>839</v>
      </c>
      <c r="C18" s="21">
        <v>15</v>
      </c>
      <c r="D18" s="21">
        <v>0</v>
      </c>
      <c r="E18" s="20"/>
      <c r="F18" s="22" t="str">
        <f t="shared" si="0"/>
        <v>/</v>
      </c>
      <c r="G18" s="22" t="str">
        <f t="shared" si="1"/>
        <v>/</v>
      </c>
    </row>
    <row r="19" spans="1:7" ht="15.75">
      <c r="A19" s="5" t="s">
        <v>387</v>
      </c>
      <c r="B19" s="20" t="s">
        <v>839</v>
      </c>
      <c r="C19" s="21">
        <v>15</v>
      </c>
      <c r="D19" s="21">
        <v>0</v>
      </c>
      <c r="E19" s="20"/>
      <c r="F19" s="22" t="str">
        <f t="shared" si="0"/>
        <v>/</v>
      </c>
      <c r="G19" s="22" t="str">
        <f t="shared" si="1"/>
        <v>/</v>
      </c>
    </row>
    <row r="20" spans="1:7" ht="15.75">
      <c r="A20" s="5" t="s">
        <v>388</v>
      </c>
      <c r="B20" s="20" t="s">
        <v>839</v>
      </c>
      <c r="C20" s="21">
        <v>15</v>
      </c>
      <c r="D20" s="21">
        <v>0</v>
      </c>
      <c r="E20" s="20"/>
      <c r="F20" s="22" t="str">
        <f t="shared" si="0"/>
        <v>/</v>
      </c>
      <c r="G20" s="22" t="str">
        <f t="shared" si="1"/>
        <v>/</v>
      </c>
    </row>
    <row r="21" spans="1:7" ht="15.75">
      <c r="A21" s="5" t="s">
        <v>401</v>
      </c>
      <c r="B21" s="20" t="s">
        <v>839</v>
      </c>
      <c r="C21" s="21">
        <v>15</v>
      </c>
      <c r="D21" s="21">
        <v>0</v>
      </c>
      <c r="E21" s="20"/>
      <c r="F21" s="22" t="str">
        <f t="shared" si="0"/>
        <v>/</v>
      </c>
      <c r="G21" s="22" t="str">
        <f t="shared" si="1"/>
        <v>/</v>
      </c>
    </row>
    <row r="22" spans="1:7" ht="15.75">
      <c r="A22" s="5" t="s">
        <v>389</v>
      </c>
      <c r="B22" s="20" t="s">
        <v>839</v>
      </c>
      <c r="C22" s="21">
        <v>15</v>
      </c>
      <c r="D22" s="21">
        <v>0</v>
      </c>
      <c r="E22" s="20"/>
      <c r="F22" s="22" t="str">
        <f t="shared" si="0"/>
        <v>/</v>
      </c>
      <c r="G22" s="22" t="str">
        <f t="shared" si="1"/>
        <v>/</v>
      </c>
    </row>
    <row r="23" spans="1:7" ht="15.75">
      <c r="A23" s="5" t="s">
        <v>390</v>
      </c>
      <c r="B23" s="20" t="s">
        <v>839</v>
      </c>
      <c r="C23" s="21">
        <v>15</v>
      </c>
      <c r="D23" s="21">
        <v>0</v>
      </c>
      <c r="E23" s="20"/>
      <c r="F23" s="22" t="str">
        <f t="shared" si="0"/>
        <v>/</v>
      </c>
      <c r="G23" s="22" t="str">
        <f t="shared" si="1"/>
        <v>/</v>
      </c>
    </row>
    <row r="24" spans="1:7" ht="15.75">
      <c r="A24" s="5" t="s">
        <v>402</v>
      </c>
      <c r="B24" s="20" t="s">
        <v>839</v>
      </c>
      <c r="C24" s="21">
        <v>15</v>
      </c>
      <c r="D24" s="21">
        <v>0</v>
      </c>
      <c r="E24" s="20"/>
      <c r="F24" s="22" t="str">
        <f t="shared" si="0"/>
        <v>/</v>
      </c>
      <c r="G24" s="22" t="str">
        <f t="shared" si="1"/>
        <v>/</v>
      </c>
    </row>
  </sheetData>
  <mergeCells count="3">
    <mergeCell ref="A1:B1"/>
    <mergeCell ref="C1:E1"/>
    <mergeCell ref="A2:E2"/>
  </mergeCells>
  <printOptions/>
  <pageMargins left="0.75" right="0.75" top="1" bottom="1" header="0.5" footer="0.5"/>
  <pageSetup orientation="portrait" paperSize="9"/>
</worksheet>
</file>

<file path=xl/worksheets/sheet59.xml><?xml version="1.0" encoding="utf-8"?>
<worksheet xmlns="http://schemas.openxmlformats.org/spreadsheetml/2006/main" xmlns:r="http://schemas.openxmlformats.org/officeDocument/2006/relationships">
  <dimension ref="A1:F10"/>
  <sheetViews>
    <sheetView workbookViewId="0" topLeftCell="A1">
      <selection activeCell="B5" sqref="B5"/>
    </sheetView>
  </sheetViews>
  <sheetFormatPr defaultColWidth="9.140625" defaultRowHeight="12.75"/>
  <cols>
    <col min="6" max="6" width="25.8515625" style="0" customWidth="1"/>
  </cols>
  <sheetData>
    <row r="1" spans="1:6" ht="12.75">
      <c r="A1" s="135" t="s">
        <v>831</v>
      </c>
      <c r="B1" s="136"/>
      <c r="C1" s="137" t="s">
        <v>832</v>
      </c>
      <c r="D1" s="138"/>
      <c r="E1" s="139"/>
      <c r="F1" s="16">
        <f>VLOOKUP("SAP Equipment # (if known)",CA_3101,2,FALSE)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19</v>
      </c>
      <c r="B4" s="20" t="s">
        <v>839</v>
      </c>
      <c r="C4" s="21">
        <v>15</v>
      </c>
      <c r="D4" s="21">
        <v>0</v>
      </c>
      <c r="E4" s="20"/>
      <c r="F4" s="22" t="str">
        <f aca="true" t="shared" si="0" ref="F4:F10">VLOOKUP(A4,CA_3101,2,FALSE)</f>
        <v>/</v>
      </c>
    </row>
    <row r="5" spans="1:6" ht="15.75">
      <c r="A5" s="5" t="s">
        <v>486</v>
      </c>
      <c r="B5" s="20" t="s">
        <v>839</v>
      </c>
      <c r="C5" s="21">
        <v>15</v>
      </c>
      <c r="D5" s="21">
        <v>0</v>
      </c>
      <c r="E5" s="20"/>
      <c r="F5" s="22" t="str">
        <f t="shared" si="0"/>
        <v>/</v>
      </c>
    </row>
    <row r="6" spans="1:6" ht="15.75">
      <c r="A6" s="5" t="s">
        <v>119</v>
      </c>
      <c r="B6" s="20" t="s">
        <v>839</v>
      </c>
      <c r="C6" s="21">
        <v>15</v>
      </c>
      <c r="D6" s="21">
        <v>0</v>
      </c>
      <c r="E6" s="20"/>
      <c r="F6" s="22" t="str">
        <f t="shared" si="0"/>
        <v>/</v>
      </c>
    </row>
    <row r="7" spans="1:6" ht="15.75">
      <c r="A7" s="5" t="s">
        <v>396</v>
      </c>
      <c r="B7" s="20" t="s">
        <v>839</v>
      </c>
      <c r="C7" s="21">
        <v>15</v>
      </c>
      <c r="D7" s="21">
        <v>0</v>
      </c>
      <c r="E7" s="20"/>
      <c r="F7" s="22" t="str">
        <f t="shared" si="0"/>
        <v>/</v>
      </c>
    </row>
    <row r="8" spans="1:6" ht="15.75">
      <c r="A8" s="5" t="s">
        <v>487</v>
      </c>
      <c r="B8" s="20" t="s">
        <v>839</v>
      </c>
      <c r="C8" s="21">
        <v>15</v>
      </c>
      <c r="D8" s="21">
        <v>0</v>
      </c>
      <c r="E8" s="20"/>
      <c r="F8" s="22" t="str">
        <f t="shared" si="0"/>
        <v>/</v>
      </c>
    </row>
    <row r="9" spans="1:6" ht="15.75">
      <c r="A9" s="19" t="s">
        <v>351</v>
      </c>
      <c r="B9" s="20" t="s">
        <v>839</v>
      </c>
      <c r="C9" s="21">
        <v>15</v>
      </c>
      <c r="D9" s="21">
        <v>0</v>
      </c>
      <c r="E9" s="20"/>
      <c r="F9" s="22" t="str">
        <f t="shared" si="0"/>
        <v>/</v>
      </c>
    </row>
    <row r="10" spans="1:6" ht="15.75">
      <c r="A10" s="5" t="s">
        <v>488</v>
      </c>
      <c r="B10" s="20" t="s">
        <v>839</v>
      </c>
      <c r="C10" s="21">
        <v>15</v>
      </c>
      <c r="D10" s="21">
        <v>0</v>
      </c>
      <c r="E10" s="20"/>
      <c r="F10"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5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G3" sqref="G3"/>
    </sheetView>
  </sheetViews>
  <sheetFormatPr defaultColWidth="9.140625" defaultRowHeight="12.75"/>
  <cols>
    <col min="1" max="1" width="36.00390625" style="1" bestFit="1" customWidth="1"/>
    <col min="2" max="2" width="36.140625" style="75" customWidth="1"/>
    <col min="3" max="3" width="34.57421875" style="1" bestFit="1" customWidth="1"/>
    <col min="4" max="4" width="4.57421875" style="1" customWidth="1"/>
    <col min="5" max="5" width="37.421875" style="1" bestFit="1" customWidth="1"/>
    <col min="6" max="16384" width="9.140625" style="1" customWidth="1"/>
  </cols>
  <sheetData>
    <row r="1" spans="1:6" ht="12.75">
      <c r="A1" s="71" t="s">
        <v>0</v>
      </c>
      <c r="B1" s="71" t="s">
        <v>1</v>
      </c>
      <c r="C1" s="71" t="s">
        <v>2</v>
      </c>
      <c r="E1" s="70" t="s">
        <v>1248</v>
      </c>
      <c r="F1" s="70" t="s">
        <v>1302</v>
      </c>
    </row>
    <row r="2" spans="1:6" ht="12.75">
      <c r="A2" s="72" t="s">
        <v>3</v>
      </c>
      <c r="B2" s="3">
        <v>11671798</v>
      </c>
      <c r="C2" s="72"/>
      <c r="E2" s="70" t="s">
        <v>1249</v>
      </c>
      <c r="F2" s="84" t="s">
        <v>1334</v>
      </c>
    </row>
    <row r="3" spans="1:6" ht="12.75">
      <c r="A3" s="72" t="s">
        <v>4</v>
      </c>
      <c r="B3" s="4" t="s">
        <v>5</v>
      </c>
      <c r="C3" s="23"/>
      <c r="E3" s="70" t="s">
        <v>330</v>
      </c>
      <c r="F3" s="85" t="str">
        <f>+'1601 Comp Cent (Comp Pkg)'!E2</f>
        <v>No</v>
      </c>
    </row>
    <row r="4" spans="1:6" ht="12.75">
      <c r="A4" s="72" t="s">
        <v>6</v>
      </c>
      <c r="B4" s="4" t="s">
        <v>1338</v>
      </c>
      <c r="C4" s="72"/>
      <c r="E4" s="70" t="s">
        <v>331</v>
      </c>
      <c r="F4" s="85" t="str">
        <f>+'1602 Comp Recip (Comp Pkg)'!E2</f>
        <v>Yes</v>
      </c>
    </row>
    <row r="5" spans="1:6" ht="12.75">
      <c r="A5" s="72" t="s">
        <v>7</v>
      </c>
      <c r="B5" s="4" t="s">
        <v>65</v>
      </c>
      <c r="C5" s="23" t="s">
        <v>510</v>
      </c>
      <c r="E5" s="70" t="s">
        <v>334</v>
      </c>
      <c r="F5" s="85" t="str">
        <f>+'1603 Comp Rotary (Comp Pkg)'!E2</f>
        <v>No</v>
      </c>
    </row>
    <row r="6" spans="1:6" ht="12.75">
      <c r="A6" s="72" t="s">
        <v>509</v>
      </c>
      <c r="B6" s="4" t="s">
        <v>556</v>
      </c>
      <c r="C6" s="23" t="s">
        <v>510</v>
      </c>
      <c r="E6" s="70" t="s">
        <v>332</v>
      </c>
      <c r="F6" s="85" t="str">
        <f>+'8401 Turbine Gas (Comp Pkg)'!E2</f>
        <v>No</v>
      </c>
    </row>
    <row r="7" spans="1:6" ht="12.75">
      <c r="A7" s="72" t="s">
        <v>8</v>
      </c>
      <c r="B7" s="4" t="s">
        <v>46</v>
      </c>
      <c r="C7" s="23" t="s">
        <v>510</v>
      </c>
      <c r="E7" s="70" t="s">
        <v>324</v>
      </c>
      <c r="F7" s="85" t="str">
        <f>+'3003 Motor AC (Comp Pkg)'!F2</f>
        <v>No</v>
      </c>
    </row>
    <row r="8" spans="1:6" ht="12.75">
      <c r="A8" s="72" t="s">
        <v>9</v>
      </c>
      <c r="B8" s="77"/>
      <c r="C8" s="72"/>
      <c r="E8" s="70" t="s">
        <v>323</v>
      </c>
      <c r="F8" s="85" t="str">
        <f>+'3202 Engine (Comp Pkg)'!E2</f>
        <v>Yes</v>
      </c>
    </row>
    <row r="9" spans="1:6" ht="12.75">
      <c r="A9" s="72" t="s">
        <v>10</v>
      </c>
      <c r="B9" s="77" t="s">
        <v>1335</v>
      </c>
      <c r="C9" s="72"/>
      <c r="E9" s="70" t="s">
        <v>350</v>
      </c>
      <c r="F9" s="85" t="str">
        <f>+'9517 Vessel Coal (Comp Pkg)'!E2</f>
        <v>No</v>
      </c>
    </row>
    <row r="10" spans="1:6" ht="12.75">
      <c r="A10" s="72" t="s">
        <v>11</v>
      </c>
      <c r="B10" s="4" t="s">
        <v>59</v>
      </c>
      <c r="C10" s="23" t="s">
        <v>510</v>
      </c>
      <c r="E10" s="70" t="s">
        <v>349</v>
      </c>
      <c r="F10" s="85" t="str">
        <f>+'9527 Vessel Filter (Comp Pkg)'!E2</f>
        <v>No</v>
      </c>
    </row>
    <row r="11" spans="1:6" ht="12.75">
      <c r="A11" s="72" t="s">
        <v>12</v>
      </c>
      <c r="B11" s="2" t="s">
        <v>1336</v>
      </c>
      <c r="C11" s="72"/>
      <c r="E11" s="70" t="s">
        <v>327</v>
      </c>
      <c r="F11" s="85" t="str">
        <f>+'9526 Separator (Comp Pkg)'!E2</f>
        <v>No</v>
      </c>
    </row>
    <row r="12" spans="1:6" ht="12.75">
      <c r="A12" s="72" t="s">
        <v>13</v>
      </c>
      <c r="B12" s="3"/>
      <c r="C12" s="72"/>
      <c r="E12" s="70" t="s">
        <v>333</v>
      </c>
      <c r="F12" s="85" t="str">
        <f>+'4015 Acct Meter (Comp Pkg)'!E2</f>
        <v>No</v>
      </c>
    </row>
    <row r="13" spans="1:6" ht="12.75">
      <c r="A13" s="72" t="s">
        <v>491</v>
      </c>
      <c r="B13" s="4" t="s">
        <v>1298</v>
      </c>
      <c r="C13" s="23" t="s">
        <v>510</v>
      </c>
      <c r="E13" s="70" t="s">
        <v>325</v>
      </c>
      <c r="F13" s="85" t="str">
        <f>+'4117 Cooler (Comp Pkg)'!F2</f>
        <v>Yes</v>
      </c>
    </row>
    <row r="14" spans="1:6" ht="12.75">
      <c r="A14" s="72" t="s">
        <v>14</v>
      </c>
      <c r="B14" s="2" t="s">
        <v>879</v>
      </c>
      <c r="C14" s="72"/>
      <c r="E14" s="70" t="s">
        <v>326</v>
      </c>
      <c r="F14" s="85" t="str">
        <f>+'2814 Panel Control (Comp Pkg)'!E2</f>
        <v>Yes</v>
      </c>
    </row>
    <row r="15" spans="1:6" ht="12.75">
      <c r="A15" s="72" t="s">
        <v>15</v>
      </c>
      <c r="B15" s="2" t="s">
        <v>879</v>
      </c>
      <c r="C15" s="72"/>
      <c r="E15" s="70" t="s">
        <v>328</v>
      </c>
      <c r="F15" s="85" t="str">
        <f>+'1004 Building (Comp Pkg)'!E2</f>
        <v>Yes</v>
      </c>
    </row>
    <row r="16" spans="1:6" ht="12.75">
      <c r="A16" s="72" t="s">
        <v>16</v>
      </c>
      <c r="B16" s="73" t="s">
        <v>879</v>
      </c>
      <c r="C16" s="72"/>
      <c r="E16" s="70" t="s">
        <v>343</v>
      </c>
      <c r="F16" s="85" t="str">
        <f>+'4120 Exch Air Cooled (Comp Pkg)'!E2</f>
        <v>No</v>
      </c>
    </row>
    <row r="17" spans="1:6" ht="12.75">
      <c r="A17" s="72" t="s">
        <v>17</v>
      </c>
      <c r="B17" s="74" t="s">
        <v>879</v>
      </c>
      <c r="C17" s="72"/>
      <c r="E17" s="70" t="s">
        <v>344</v>
      </c>
      <c r="F17" s="85" t="str">
        <f>+'6803 Cylinder Comp (Comp Pkg)'!L2</f>
        <v>Yes</v>
      </c>
    </row>
    <row r="18" spans="1:6" ht="12.75">
      <c r="A18" s="72" t="s">
        <v>88</v>
      </c>
      <c r="B18" s="73" t="s">
        <v>879</v>
      </c>
      <c r="C18" s="72"/>
      <c r="E18" s="70" t="s">
        <v>329</v>
      </c>
      <c r="F18" s="85" t="str">
        <f>+'9504 Scrubber (Comp Pkg)'!I2</f>
        <v>Yes</v>
      </c>
    </row>
    <row r="19" spans="1:6" ht="12.75">
      <c r="A19" s="72" t="s">
        <v>93</v>
      </c>
      <c r="B19" s="73" t="s">
        <v>879</v>
      </c>
      <c r="C19" s="72"/>
      <c r="E19" s="70" t="s">
        <v>345</v>
      </c>
      <c r="F19" s="85" t="str">
        <f>+'9530 Comp Bottle (Comp Pkg)'!J2</f>
        <v>No</v>
      </c>
    </row>
    <row r="20" spans="1:6" ht="12.75">
      <c r="A20" s="19" t="s">
        <v>19</v>
      </c>
      <c r="B20" s="87" t="s">
        <v>28</v>
      </c>
      <c r="C20" s="23" t="s">
        <v>510</v>
      </c>
      <c r="E20" s="70" t="s">
        <v>335</v>
      </c>
      <c r="F20" s="85" t="str">
        <f>+'1210 Blow Case (Comp Pkg)'!E2</f>
        <v>No</v>
      </c>
    </row>
    <row r="21" spans="1:6" ht="12.75">
      <c r="A21" s="19" t="s">
        <v>23</v>
      </c>
      <c r="B21" s="107" t="s">
        <v>1334</v>
      </c>
      <c r="C21" s="23"/>
      <c r="E21" s="70" t="s">
        <v>336</v>
      </c>
      <c r="F21" s="85" t="str">
        <f>+'4006 FM Turbine (Comp Pkg)'!E2</f>
        <v>No</v>
      </c>
    </row>
    <row r="22" spans="1:6" ht="12.75">
      <c r="A22" s="19" t="s">
        <v>24</v>
      </c>
      <c r="B22" s="107" t="s">
        <v>1334</v>
      </c>
      <c r="C22" s="23"/>
      <c r="E22" s="70" t="s">
        <v>337</v>
      </c>
      <c r="F22" s="85" t="str">
        <f>+'4007 FM Ultrasonic (Comp Pkg)'!E2</f>
        <v>No</v>
      </c>
    </row>
    <row r="23" spans="1:6" ht="12.75">
      <c r="A23" s="19" t="s">
        <v>25</v>
      </c>
      <c r="B23" s="87" t="s">
        <v>879</v>
      </c>
      <c r="C23" s="23"/>
      <c r="E23" s="70" t="s">
        <v>338</v>
      </c>
      <c r="F23" s="85" t="str">
        <f>+'4008 FM Venturi (Comp Pkg)'!E2</f>
        <v>No</v>
      </c>
    </row>
    <row r="24" spans="1:6" ht="12.75">
      <c r="A24" s="19" t="s">
        <v>114</v>
      </c>
      <c r="B24" s="87">
        <v>2</v>
      </c>
      <c r="C24" s="23"/>
      <c r="E24" s="70" t="s">
        <v>339</v>
      </c>
      <c r="F24" s="85" t="str">
        <f>+'4009 FM PD (Comp Pkg)'!E2</f>
        <v>No</v>
      </c>
    </row>
    <row r="25" spans="1:6" ht="12.75">
      <c r="A25" s="19" t="s">
        <v>119</v>
      </c>
      <c r="B25" s="107" t="s">
        <v>1337</v>
      </c>
      <c r="C25" s="23"/>
      <c r="E25" s="70" t="s">
        <v>340</v>
      </c>
      <c r="F25" s="85" t="str">
        <f>+'4017 MR Senior (Comp Pkg)'!E2</f>
        <v>No</v>
      </c>
    </row>
    <row r="26" spans="1:6" ht="12.75">
      <c r="A26" s="19" t="s">
        <v>26</v>
      </c>
      <c r="B26" s="87" t="s">
        <v>879</v>
      </c>
      <c r="C26" s="23"/>
      <c r="E26" s="70" t="s">
        <v>1301</v>
      </c>
      <c r="F26" s="85" t="str">
        <f>+'4018 FM Junior (Comp Pkg)'!E2</f>
        <v>No</v>
      </c>
    </row>
    <row r="27" spans="1:6" ht="12.75">
      <c r="A27" s="19" t="s">
        <v>128</v>
      </c>
      <c r="B27" s="87" t="s">
        <v>879</v>
      </c>
      <c r="C27" s="23"/>
      <c r="E27" s="70" t="s">
        <v>348</v>
      </c>
      <c r="F27" s="85" t="str">
        <f>+'4305 Transmitter(MVT)(Comp Pkg)'!E2</f>
        <v>No</v>
      </c>
    </row>
    <row r="28" spans="1:6" ht="12.75">
      <c r="A28" s="19" t="s">
        <v>133</v>
      </c>
      <c r="B28" s="87" t="s">
        <v>879</v>
      </c>
      <c r="C28" s="23"/>
      <c r="E28" s="70" t="s">
        <v>341</v>
      </c>
      <c r="F28" s="85" t="str">
        <f>+'4016 Ref Mtr Pkg (Comp Pkg)'!E2</f>
        <v>No</v>
      </c>
    </row>
    <row r="29" spans="1:6" ht="12.75">
      <c r="A29" s="19" t="s">
        <v>20</v>
      </c>
      <c r="B29" s="87" t="s">
        <v>37</v>
      </c>
      <c r="C29" s="23" t="s">
        <v>510</v>
      </c>
      <c r="E29" s="70" t="s">
        <v>347</v>
      </c>
      <c r="F29" s="85" t="str">
        <f>+'3003 Motor AC (Comp Pkg Cooler)'!F2</f>
        <v>No</v>
      </c>
    </row>
    <row r="30" spans="1:6" ht="12.75">
      <c r="A30" s="19" t="s">
        <v>21</v>
      </c>
      <c r="B30" s="87" t="s">
        <v>806</v>
      </c>
      <c r="C30" s="23" t="s">
        <v>510</v>
      </c>
      <c r="E30" s="70" t="s">
        <v>342</v>
      </c>
      <c r="F30" s="85" t="str">
        <f>+'3101 Generator (Comp Pkg)'!E2</f>
        <v>No</v>
      </c>
    </row>
    <row r="31" spans="1:6" ht="12.75">
      <c r="A31" s="19" t="s">
        <v>22</v>
      </c>
      <c r="B31" s="87" t="s">
        <v>879</v>
      </c>
      <c r="C31" s="23" t="s">
        <v>510</v>
      </c>
      <c r="E31" s="70" t="s">
        <v>346</v>
      </c>
      <c r="F31" s="85" t="str">
        <f>+'4102 Exch Plate (Comp Pkg)'!E2</f>
        <v>No</v>
      </c>
    </row>
    <row r="32" spans="5:6" ht="12.75">
      <c r="E32" s="70" t="s">
        <v>1309</v>
      </c>
      <c r="F32" s="85" t="str">
        <f>+'4304 Analyzer LEL (Comp Pkg)'!F2</f>
        <v>No</v>
      </c>
    </row>
    <row r="33" spans="1:6" ht="25.5">
      <c r="A33" s="76" t="s">
        <v>1252</v>
      </c>
      <c r="B33" s="74" t="s">
        <v>1334</v>
      </c>
      <c r="C33" s="23" t="s">
        <v>510</v>
      </c>
      <c r="E33" s="70" t="s">
        <v>1310</v>
      </c>
      <c r="F33" s="85" t="str">
        <f>+'4304 Analyzer H2S (Comp Pkg)'!F2</f>
        <v>No</v>
      </c>
    </row>
    <row r="34" spans="1:6" ht="25.5">
      <c r="A34" s="76" t="s">
        <v>1253</v>
      </c>
      <c r="B34" s="74"/>
      <c r="C34" s="23" t="s">
        <v>510</v>
      </c>
      <c r="E34" s="70" t="s">
        <v>1311</v>
      </c>
      <c r="F34" s="85" t="str">
        <f>+'4304 Analyzer FIRE (Comp Pkg)'!F2</f>
        <v>No</v>
      </c>
    </row>
    <row r="35" spans="1:6" ht="12.75">
      <c r="A35" s="76" t="s">
        <v>1254</v>
      </c>
      <c r="B35" s="74"/>
      <c r="C35" s="23" t="s">
        <v>510</v>
      </c>
      <c r="E35" s="70" t="s">
        <v>1312</v>
      </c>
      <c r="F35" s="85" t="str">
        <f>+'4304 Analyzer O2 (Comp Pkg)'!F2</f>
        <v>No</v>
      </c>
    </row>
    <row r="36" spans="1:6" ht="38.25">
      <c r="A36" s="76" t="s">
        <v>1255</v>
      </c>
      <c r="B36" s="74"/>
      <c r="C36" s="23" t="s">
        <v>510</v>
      </c>
      <c r="E36" s="70" t="s">
        <v>1313</v>
      </c>
      <c r="F36" s="85" t="str">
        <f>+'4304 Analyzer CO2 (Comp Pkg)'!F2</f>
        <v>No</v>
      </c>
    </row>
    <row r="37" spans="1:6" ht="51">
      <c r="A37" s="76" t="s">
        <v>1256</v>
      </c>
      <c r="B37" s="74"/>
      <c r="C37" s="23" t="s">
        <v>510</v>
      </c>
      <c r="E37" s="70" t="s">
        <v>1286</v>
      </c>
      <c r="F37" s="85" t="str">
        <f>+'8402 Turbine Steam (Comp Pkg)'!E2</f>
        <v>No</v>
      </c>
    </row>
    <row r="38" spans="1:6" ht="51">
      <c r="A38" s="76" t="s">
        <v>1257</v>
      </c>
      <c r="B38" s="74"/>
      <c r="C38" s="23" t="s">
        <v>510</v>
      </c>
      <c r="E38" s="70" t="s">
        <v>1287</v>
      </c>
      <c r="F38" s="85" t="str">
        <f>+'4016 Ref Mtr Pkg (Comp Pkg)'!E2</f>
        <v>No</v>
      </c>
    </row>
    <row r="39" spans="1:6" ht="25.5">
      <c r="A39" s="76" t="s">
        <v>1258</v>
      </c>
      <c r="B39" s="74"/>
      <c r="C39" s="23"/>
      <c r="E39" s="70" t="s">
        <v>1288</v>
      </c>
      <c r="F39" s="85" t="str">
        <f>+'2832 VarSpDr (Comp Pkg)'!E2</f>
        <v>No</v>
      </c>
    </row>
    <row r="40" spans="5:6" ht="12.75">
      <c r="E40" s="70" t="s">
        <v>1289</v>
      </c>
      <c r="F40" s="85" t="str">
        <f>+'1902 Crane (Comp Pkg)'!E2</f>
        <v>No</v>
      </c>
    </row>
    <row r="41" spans="1:6" ht="12.75">
      <c r="A41" s="120" t="s">
        <v>154</v>
      </c>
      <c r="B41" s="120"/>
      <c r="C41" s="120"/>
      <c r="E41" s="70" t="s">
        <v>1290</v>
      </c>
      <c r="F41" s="85" t="str">
        <f>+'1908 Hoist (Comp Pkg)'!E2</f>
        <v>No</v>
      </c>
    </row>
    <row r="42" spans="1:6" ht="12.75">
      <c r="A42" s="121"/>
      <c r="B42" s="122"/>
      <c r="C42" s="123"/>
      <c r="E42" s="70" t="s">
        <v>1291</v>
      </c>
      <c r="F42" s="85" t="str">
        <f>+'1910 Trolley (Comp Pkg)'!E2</f>
        <v>No</v>
      </c>
    </row>
    <row r="43" spans="1:6" ht="12.75">
      <c r="A43" s="124"/>
      <c r="B43" s="125"/>
      <c r="C43" s="126"/>
      <c r="E43" s="70" t="s">
        <v>1292</v>
      </c>
      <c r="F43" s="85" t="str">
        <f>+'2841 UPS (Comp Pkg)'!E2</f>
        <v>No</v>
      </c>
    </row>
    <row r="44" spans="1:6" ht="12.75">
      <c r="A44" s="124"/>
      <c r="B44" s="125"/>
      <c r="C44" s="126"/>
      <c r="E44" s="70" t="s">
        <v>1293</v>
      </c>
      <c r="F44" s="85" t="str">
        <f>+'2903 Heat Elec (Comp Pkg)'!E2</f>
        <v>No</v>
      </c>
    </row>
    <row r="45" spans="1:6" ht="12.75">
      <c r="A45" s="124"/>
      <c r="B45" s="125"/>
      <c r="C45" s="126"/>
      <c r="E45" s="70" t="s">
        <v>1294</v>
      </c>
      <c r="F45" s="85" t="str">
        <f>+'9104 Valve Motor Op (Comp Pkg)'!E2</f>
        <v>No</v>
      </c>
    </row>
    <row r="46" spans="1:6" ht="12.75">
      <c r="A46" s="124"/>
      <c r="B46" s="125"/>
      <c r="C46" s="126"/>
      <c r="E46" s="70" t="s">
        <v>1295</v>
      </c>
      <c r="F46" s="85" t="str">
        <f>+'6304 Gearbox (Comp Pkg)'!E2</f>
        <v>No</v>
      </c>
    </row>
    <row r="47" spans="1:3" ht="12.75">
      <c r="A47" s="124"/>
      <c r="B47" s="125"/>
      <c r="C47" s="126"/>
    </row>
    <row r="48" spans="1:3" ht="12.75">
      <c r="A48" s="124"/>
      <c r="B48" s="125"/>
      <c r="C48" s="126"/>
    </row>
    <row r="49" spans="1:3" ht="12.75">
      <c r="A49" s="124"/>
      <c r="B49" s="125"/>
      <c r="C49" s="126"/>
    </row>
    <row r="50" spans="1:3" ht="12.75">
      <c r="A50" s="124"/>
      <c r="B50" s="125"/>
      <c r="C50" s="126"/>
    </row>
    <row r="51" spans="1:3" ht="12.75">
      <c r="A51" s="127"/>
      <c r="B51" s="128"/>
      <c r="C51" s="129"/>
    </row>
    <row r="53" spans="1:2" ht="12.75">
      <c r="A53" s="86" t="s">
        <v>1305</v>
      </c>
      <c r="B53" s="86" t="s">
        <v>1306</v>
      </c>
    </row>
    <row r="54" spans="1:2" ht="12.75">
      <c r="A54" s="23"/>
      <c r="B54" s="88"/>
    </row>
  </sheetData>
  <mergeCells count="2">
    <mergeCell ref="A41:C41"/>
    <mergeCell ref="A42:C51"/>
  </mergeCells>
  <dataValidations count="10">
    <dataValidation type="list" allowBlank="1" showInputMessage="1" showErrorMessage="1" sqref="B5">
      <formula1>Maintenance_Plant</formula1>
    </dataValidation>
    <dataValidation type="list" allowBlank="1" showInputMessage="1" showErrorMessage="1" sqref="B6">
      <formula1>Area_Level_3</formula1>
    </dataValidation>
    <dataValidation type="list" allowBlank="1" showInputMessage="1" showErrorMessage="1" sqref="B7">
      <formula1>Type_of_Facility</formula1>
    </dataValidation>
    <dataValidation type="list" allowBlank="1" showInputMessage="1" showErrorMessage="1" sqref="B10">
      <formula1>Process</formula1>
    </dataValidation>
    <dataValidation type="list" allowBlank="1" showInputMessage="1" showErrorMessage="1" sqref="B13">
      <formula1>STATUS</formula1>
    </dataValidation>
    <dataValidation type="list" allowBlank="1" showInputMessage="1" showErrorMessage="1" sqref="B33:B38">
      <formula1>YES_NO</formula1>
    </dataValidation>
    <dataValidation errorStyle="warning" type="list" allowBlank="1" showInputMessage="1" showErrorMessage="1" sqref="B31">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29">
      <formula1>PORTABLE_PERMANENT</formula1>
    </dataValidation>
    <dataValidation errorStyle="warning" type="list" allowBlank="1" showInputMessage="1" showErrorMessage="1" sqref="B30">
      <formula1>POWER_SOURCE</formula1>
    </dataValidation>
  </dataValidations>
  <hyperlinks>
    <hyperlink ref="E3" location="'1601 Comp Cent (Comp Pkg)'!A1" display="1601 Compr Cent"/>
    <hyperlink ref="E4" location="'1602 Comp Recip (Comp Pkg)'!A1" display="1602 Comp Recip "/>
    <hyperlink ref="E5" location="'1603 Comp Rotary (Comp Pkg)'!A1" display="1603 Comp Rotary"/>
    <hyperlink ref="E6" location="'8401 Turbine Gas (Comp Pkg)'!A1" display="8401 Turbine Gas"/>
    <hyperlink ref="E7" location="'3003 Motor AC (Comp Pkg)'!A1" display="3003 Electric Motor"/>
    <hyperlink ref="E9" location="'9517 Vessel Coal (Comp Pkg)'!A1" display="9517 Vessel Coalescer"/>
    <hyperlink ref="E11" location="'9526 Separator (Comp Pkg)'!A1" display="9526 Separator"/>
    <hyperlink ref="E12" location="'4015 Acct Meter (Comp Pkg)'!A1" display="4015 Acct Meter"/>
    <hyperlink ref="E13" location="'4117 Cooler (Comp Pkg)'!A1" display="4117 Cooler"/>
    <hyperlink ref="E14" location="'2814 Panel Control (Comp Pkg)'!A1" display="2814 Panel Control"/>
    <hyperlink ref="E15" location="'1004 Building (Comp Pkg)'!A1" display="1004 Building"/>
    <hyperlink ref="E16" location="'4120 Exch Air Cooled (Comp Pkg)'!A1" display="4120 Exchanger Air Cooled"/>
    <hyperlink ref="E17" location="'6803 Cylinder Comp (Comp Pkg)'!A1" display="6803 Cylinder Comp"/>
    <hyperlink ref="E18" location="'9504 Scrubber (Comp Pkg)'!A1" display="9504 Scrubber"/>
    <hyperlink ref="E19" location="'9530 Comp Bottle (Comp Pkg)'!A1" display="9530 Comp Bottle"/>
    <hyperlink ref="E20" location="'1210 Blow Case (Comp Pkg)'!A1" display="1210 Blow Case"/>
    <hyperlink ref="E21" location="'4006 FM Turbine (Comp Pkg)'!A1" display="4006 Flow Meter Turbine"/>
    <hyperlink ref="E22" location="'4007 FM Ultrasonic (Comp Pkg)'!A1" display="4007 Flow Meter Ultrasonic"/>
    <hyperlink ref="E23" location="'4008 FM Venturi (Comp Pkg)'!A1" display="4008 Flow Meter Venturi"/>
    <hyperlink ref="E24" location="'4009 FM PD (Comp Pkg)'!A1" display="4009 Flow Meter PD"/>
    <hyperlink ref="E25" location="'4017 MR Senior (Comp Pkg)'!A1" display="4017 Meter Run Senior"/>
    <hyperlink ref="E26" location="'4018 FM Junior (Comp Pkg)'!A1" display="4018 FMeter Run Junior"/>
    <hyperlink ref="E28" location="'4316 Recorder Dryflow(CompPkg) '!A1" display="4316 Recorder Dryflow"/>
    <hyperlink ref="E30" location="'3101 Generator (Comp Pkg)'!A1" display="3101 Generator Electric"/>
    <hyperlink ref="E31" location="'4102 Exch Plate (Comp Pkg)'!A1" display="4102 Exchanger Plate"/>
    <hyperlink ref="E32" location="CA_4304_LEL" display="4304 Analyzer LEL"/>
    <hyperlink ref="E29" location="'3003 Motor AC (Comp Pkg Cooler)'!A1" display="3003 Electric Motor (Comp Pkg Cooler)"/>
    <hyperlink ref="E8" location="'3202 Engine (Comp Pkg)'!A1" display="3202 Engine"/>
    <hyperlink ref="E10" location="'9527 Vessel Filter (Comp Pkg)'!A1" display="9527 Vessel Filter"/>
    <hyperlink ref="E27" location="'4305 Transmitter(MVT)(Comp Pkg)'!A1" display="4305 Transmitter (MVT)"/>
    <hyperlink ref="E1" r:id="rId1" display="HOME"/>
    <hyperlink ref="E37" location="'8402 Turbine Steam (Comp Pkg)'!A1" display="8402 Turbine Steam"/>
    <hyperlink ref="E38" location="'4016 Ref Mtr Pkg (Comp Pkg)'!A1" display="4016 Ref Mtr Pkg"/>
    <hyperlink ref="E39" location="'2832 VarSpDr (Comp Pkg)'!A1" display="2832 Variable Speed Drive"/>
    <hyperlink ref="E40" location="'1902 Crane (Comp Pkg)'!A1" display="1902 Crane"/>
    <hyperlink ref="E41" location="'1908 Hoist (Comp Pkg)'!A1" display="1908 Hoist"/>
    <hyperlink ref="E42" location="'1910 Trolley (Comp Pkg)'!A1" display="1910 Trolley"/>
    <hyperlink ref="E43" location="'2841 UPS (Comp Pkg)'!A1" display="2841 UPS"/>
    <hyperlink ref="E44" location="'2903 Heat Elec (Comp Pkg)'!A1" display="2903 Heater Electric"/>
    <hyperlink ref="E45" location="'9104 Valve Motor Op (Comp Pkg)'!A1" display="9104 Valve Motor Opr"/>
    <hyperlink ref="E46" location="'6304 Gearbox (Comp Pkg)'!A1" display="6304 Gearbox"/>
    <hyperlink ref="E33:E36" location="'4304 Analyzer (Comp Pkg)'!A1" display="4304 Analyzer"/>
    <hyperlink ref="E33" location="CA_4304_H2S" display="4304 Analyzer H2S"/>
    <hyperlink ref="E34" location="CA_4304_FIRE" display="4304 Analyzer FIRE EYE"/>
    <hyperlink ref="E35" location="CA_4304_O2" display="4304 Analyzer O2"/>
    <hyperlink ref="E36" location="CA_4304_CO2" display="4304 Analyzer CO2"/>
  </hyperlinks>
  <printOptions horizontalCentered="1"/>
  <pageMargins left="0.75" right="0.75" top="0.5" bottom="1" header="0.25" footer="0.5"/>
  <pageSetup fitToHeight="1" fitToWidth="1" horizontalDpi="600" verticalDpi="600" orientation="portrait" scale="61" r:id="rId4"/>
  <headerFooter alignWithMargins="0">
    <oddFooter>&amp;L&amp;F&amp;C&amp;P of &amp;N&amp;R&amp;A</oddFooter>
  </headerFooter>
  <legacyDrawing r:id="rId3"/>
</worksheet>
</file>

<file path=xl/worksheets/sheet60.xml><?xml version="1.0" encoding="utf-8"?>
<worksheet xmlns="http://schemas.openxmlformats.org/spreadsheetml/2006/main" xmlns:r="http://schemas.openxmlformats.org/officeDocument/2006/relationships">
  <dimension ref="A1:F25"/>
  <sheetViews>
    <sheetView workbookViewId="0" topLeftCell="A1">
      <selection activeCell="B5" sqref="B5"/>
    </sheetView>
  </sheetViews>
  <sheetFormatPr defaultColWidth="9.140625" defaultRowHeight="12.75"/>
  <cols>
    <col min="1" max="1" width="27.8515625" style="0" bestFit="1" customWidth="1"/>
    <col min="2" max="2" width="6.140625" style="0" bestFit="1" customWidth="1"/>
    <col min="3" max="5" width="9.28125" style="0" customWidth="1"/>
    <col min="6" max="6" width="34.8515625" style="0" bestFit="1" customWidth="1"/>
  </cols>
  <sheetData>
    <row r="1" spans="1:6" ht="20.25">
      <c r="A1" s="140" t="s">
        <v>831</v>
      </c>
      <c r="B1" s="141"/>
      <c r="C1" s="142" t="s">
        <v>832</v>
      </c>
      <c r="D1" s="143"/>
      <c r="E1" s="144"/>
      <c r="F1">
        <f>VLOOKUP("SAP Equipment # (if known)",CA_3202,2,FALSE)</f>
        <v>10703964</v>
      </c>
    </row>
    <row r="2" spans="1:5" ht="18">
      <c r="A2" s="145" t="s">
        <v>833</v>
      </c>
      <c r="B2" s="143"/>
      <c r="C2" s="143"/>
      <c r="D2" s="143"/>
      <c r="E2" s="144"/>
    </row>
    <row r="3" spans="1:5" ht="25.5">
      <c r="A3" s="17" t="s">
        <v>834</v>
      </c>
      <c r="B3" s="18" t="s">
        <v>835</v>
      </c>
      <c r="C3" s="18" t="s">
        <v>836</v>
      </c>
      <c r="D3" s="18" t="s">
        <v>837</v>
      </c>
      <c r="E3" s="18" t="s">
        <v>838</v>
      </c>
    </row>
    <row r="4" spans="1:6" ht="15.75">
      <c r="A4" s="5" t="s">
        <v>19</v>
      </c>
      <c r="B4" s="20" t="s">
        <v>839</v>
      </c>
      <c r="C4" s="21">
        <v>15</v>
      </c>
      <c r="D4" s="21">
        <v>0</v>
      </c>
      <c r="E4" s="20"/>
      <c r="F4" s="22" t="str">
        <f aca="true" t="shared" si="0" ref="F4:F25">VLOOKUP(A4,CA_3202,2,FALSE)</f>
        <v>Controllable Asset</v>
      </c>
    </row>
    <row r="5" spans="1:6" ht="15.75">
      <c r="A5" s="5" t="s">
        <v>405</v>
      </c>
      <c r="B5" s="20" t="s">
        <v>839</v>
      </c>
      <c r="C5" s="21">
        <v>15</v>
      </c>
      <c r="D5" s="21">
        <v>0</v>
      </c>
      <c r="E5" s="20"/>
      <c r="F5" s="22" t="str">
        <f t="shared" si="0"/>
        <v>No</v>
      </c>
    </row>
    <row r="6" spans="1:6" ht="15.75">
      <c r="A6" s="5" t="s">
        <v>406</v>
      </c>
      <c r="B6" s="20" t="s">
        <v>839</v>
      </c>
      <c r="C6" s="21">
        <v>15</v>
      </c>
      <c r="D6" s="21">
        <v>0</v>
      </c>
      <c r="E6" s="20"/>
      <c r="F6" s="22" t="str">
        <f t="shared" si="0"/>
        <v>No</v>
      </c>
    </row>
    <row r="7" spans="1:6" ht="15.75">
      <c r="A7" s="5" t="s">
        <v>407</v>
      </c>
      <c r="B7" s="20" t="s">
        <v>839</v>
      </c>
      <c r="C7" s="21">
        <v>15</v>
      </c>
      <c r="D7" s="21">
        <v>0</v>
      </c>
      <c r="E7" s="20"/>
      <c r="F7" s="22" t="str">
        <f t="shared" si="0"/>
        <v>/</v>
      </c>
    </row>
    <row r="8" spans="1:6" ht="15.75">
      <c r="A8" s="5" t="s">
        <v>408</v>
      </c>
      <c r="B8" s="20" t="s">
        <v>839</v>
      </c>
      <c r="C8" s="21">
        <v>15</v>
      </c>
      <c r="D8" s="21">
        <v>0</v>
      </c>
      <c r="E8" s="20"/>
      <c r="F8" s="22" t="str">
        <f t="shared" si="0"/>
        <v>/</v>
      </c>
    </row>
    <row r="9" spans="1:6" ht="15.75">
      <c r="A9" s="5" t="s">
        <v>409</v>
      </c>
      <c r="B9" s="20" t="s">
        <v>839</v>
      </c>
      <c r="C9" s="21">
        <v>15</v>
      </c>
      <c r="D9" s="21">
        <v>0</v>
      </c>
      <c r="E9" s="20"/>
      <c r="F9" s="22" t="str">
        <f t="shared" si="0"/>
        <v>Altronic III</v>
      </c>
    </row>
    <row r="10" spans="1:6" ht="15.75">
      <c r="A10" s="5" t="s">
        <v>410</v>
      </c>
      <c r="B10" s="20" t="s">
        <v>839</v>
      </c>
      <c r="C10" s="21">
        <v>15</v>
      </c>
      <c r="D10" s="21">
        <v>0</v>
      </c>
      <c r="E10" s="20"/>
      <c r="F10" s="22" t="str">
        <f t="shared" si="0"/>
        <v>/</v>
      </c>
    </row>
    <row r="11" spans="1:6" ht="15.75">
      <c r="A11" s="5" t="s">
        <v>411</v>
      </c>
      <c r="B11" s="20" t="s">
        <v>839</v>
      </c>
      <c r="C11" s="21">
        <v>15</v>
      </c>
      <c r="D11" s="21">
        <v>0</v>
      </c>
      <c r="E11" s="20"/>
      <c r="F11" s="22" t="str">
        <f t="shared" si="0"/>
        <v>/</v>
      </c>
    </row>
    <row r="12" spans="1:6" ht="15.75">
      <c r="A12" s="5" t="s">
        <v>412</v>
      </c>
      <c r="B12" s="20" t="s">
        <v>839</v>
      </c>
      <c r="C12" s="21">
        <v>15</v>
      </c>
      <c r="D12" s="21">
        <v>0</v>
      </c>
      <c r="E12" s="20"/>
      <c r="F12" s="22" t="str">
        <f t="shared" si="0"/>
        <v>/</v>
      </c>
    </row>
    <row r="13" spans="1:6" ht="15.75">
      <c r="A13" s="5" t="s">
        <v>119</v>
      </c>
      <c r="B13" s="20" t="s">
        <v>839</v>
      </c>
      <c r="C13" s="21">
        <v>15</v>
      </c>
      <c r="D13" s="21">
        <v>0</v>
      </c>
      <c r="E13" s="20"/>
      <c r="F13" s="22" t="str">
        <f t="shared" si="0"/>
        <v>Conoco Phillips 100%</v>
      </c>
    </row>
    <row r="14" spans="1:6" ht="15.75">
      <c r="A14" s="5" t="s">
        <v>368</v>
      </c>
      <c r="B14" s="20" t="s">
        <v>839</v>
      </c>
      <c r="C14" s="21">
        <v>15</v>
      </c>
      <c r="D14" s="21">
        <v>0</v>
      </c>
      <c r="E14" s="20"/>
      <c r="F14" s="22">
        <f t="shared" si="0"/>
        <v>512</v>
      </c>
    </row>
    <row r="15" spans="1:6" ht="15.75">
      <c r="A15" s="5" t="s">
        <v>377</v>
      </c>
      <c r="B15" s="20" t="s">
        <v>839</v>
      </c>
      <c r="C15" s="21">
        <v>15</v>
      </c>
      <c r="D15" s="21">
        <v>0</v>
      </c>
      <c r="E15" s="20"/>
      <c r="F15" s="22">
        <f t="shared" si="0"/>
        <v>1200</v>
      </c>
    </row>
    <row r="16" spans="1:6" ht="15.75">
      <c r="A16" s="5" t="s">
        <v>413</v>
      </c>
      <c r="B16" s="20" t="s">
        <v>839</v>
      </c>
      <c r="C16" s="21">
        <v>15</v>
      </c>
      <c r="D16" s="21">
        <v>0</v>
      </c>
      <c r="E16" s="20"/>
      <c r="F16" s="22" t="str">
        <f t="shared" si="0"/>
        <v>/</v>
      </c>
    </row>
    <row r="17" spans="1:6" ht="15.75">
      <c r="A17" s="5" t="s">
        <v>414</v>
      </c>
      <c r="B17" s="20" t="s">
        <v>839</v>
      </c>
      <c r="C17" s="21">
        <v>15</v>
      </c>
      <c r="D17" s="21">
        <v>0</v>
      </c>
      <c r="E17" s="20"/>
      <c r="F17" s="22" t="str">
        <f t="shared" si="0"/>
        <v>/</v>
      </c>
    </row>
    <row r="18" spans="1:6" ht="15.75">
      <c r="A18" s="5" t="s">
        <v>415</v>
      </c>
      <c r="B18" s="20" t="s">
        <v>839</v>
      </c>
      <c r="C18" s="21">
        <v>15</v>
      </c>
      <c r="D18" s="21">
        <v>0</v>
      </c>
      <c r="E18" s="20"/>
      <c r="F18" s="22" t="str">
        <f t="shared" si="0"/>
        <v>/</v>
      </c>
    </row>
    <row r="19" spans="1:6" ht="15.75">
      <c r="A19" s="5" t="s">
        <v>416</v>
      </c>
      <c r="B19" s="20" t="s">
        <v>839</v>
      </c>
      <c r="C19" s="21">
        <v>15</v>
      </c>
      <c r="D19" s="21">
        <v>0</v>
      </c>
      <c r="E19" s="20"/>
      <c r="F19" s="22" t="str">
        <f t="shared" si="0"/>
        <v>/</v>
      </c>
    </row>
    <row r="20" spans="1:6" ht="15.75">
      <c r="A20" s="5" t="s">
        <v>417</v>
      </c>
      <c r="B20" s="20" t="s">
        <v>839</v>
      </c>
      <c r="C20" s="21">
        <v>15</v>
      </c>
      <c r="D20" s="21">
        <v>0</v>
      </c>
      <c r="E20" s="20"/>
      <c r="F20" s="22" t="str">
        <f t="shared" si="0"/>
        <v>/</v>
      </c>
    </row>
    <row r="21" spans="1:6" ht="15.75">
      <c r="A21" s="5" t="s">
        <v>403</v>
      </c>
      <c r="B21" s="20" t="s">
        <v>839</v>
      </c>
      <c r="C21" s="21">
        <v>15</v>
      </c>
      <c r="D21" s="21">
        <v>0</v>
      </c>
      <c r="E21" s="20"/>
      <c r="F21" s="22" t="str">
        <f t="shared" si="0"/>
        <v>/</v>
      </c>
    </row>
    <row r="22" spans="1:6" ht="15.75">
      <c r="A22" s="5" t="s">
        <v>366</v>
      </c>
      <c r="B22" s="20" t="s">
        <v>839</v>
      </c>
      <c r="C22" s="21">
        <v>15</v>
      </c>
      <c r="D22" s="21">
        <v>0</v>
      </c>
      <c r="E22" s="20"/>
      <c r="F22" s="22" t="str">
        <f t="shared" si="0"/>
        <v>/</v>
      </c>
    </row>
    <row r="23" spans="1:6" ht="15.75">
      <c r="A23" s="5" t="s">
        <v>418</v>
      </c>
      <c r="B23" s="20" t="s">
        <v>839</v>
      </c>
      <c r="C23" s="21">
        <v>15</v>
      </c>
      <c r="D23" s="21">
        <v>0</v>
      </c>
      <c r="E23" s="20"/>
      <c r="F23" s="22" t="str">
        <f t="shared" si="0"/>
        <v>/</v>
      </c>
    </row>
    <row r="24" spans="1:6" ht="15.75">
      <c r="A24" s="5" t="s">
        <v>419</v>
      </c>
      <c r="B24" s="20" t="s">
        <v>839</v>
      </c>
      <c r="C24" s="21">
        <v>15</v>
      </c>
      <c r="D24" s="21">
        <v>0</v>
      </c>
      <c r="E24" s="20"/>
      <c r="F24" s="22" t="str">
        <f t="shared" si="0"/>
        <v>/</v>
      </c>
    </row>
    <row r="25" spans="1:6" ht="15.75">
      <c r="A25" s="5" t="s">
        <v>404</v>
      </c>
      <c r="B25" s="20" t="s">
        <v>839</v>
      </c>
      <c r="C25" s="21">
        <v>15</v>
      </c>
      <c r="D25" s="21">
        <v>0</v>
      </c>
      <c r="E25" s="20"/>
      <c r="F25" s="22" t="str">
        <f t="shared" si="0"/>
        <v>YES</v>
      </c>
    </row>
  </sheetData>
  <mergeCells count="3">
    <mergeCell ref="A1:B1"/>
    <mergeCell ref="C1:E1"/>
    <mergeCell ref="A2:E2"/>
  </mergeCells>
  <printOptions/>
  <pageMargins left="0.75" right="0.75" top="1" bottom="1" header="0.5" footer="0.5"/>
  <pageSetup orientation="portrait" paperSize="9"/>
</worksheet>
</file>

<file path=xl/worksheets/sheet61.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5.00390625" style="0" customWidth="1"/>
  </cols>
  <sheetData>
    <row r="1" spans="1:6" ht="12.75">
      <c r="A1" s="135" t="s">
        <v>831</v>
      </c>
      <c r="B1" s="136"/>
      <c r="C1" s="137" t="s">
        <v>832</v>
      </c>
      <c r="D1" s="138"/>
      <c r="E1" s="139"/>
      <c r="F1" s="16">
        <f>VLOOKUP("SAP Equipment # (if known)",CA_4006,2,FALSE)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VLOOKUP(A4,CA_4006,2,FALSE)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2.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5.8515625" style="0" customWidth="1"/>
  </cols>
  <sheetData>
    <row r="1" spans="1:6" ht="12.75">
      <c r="A1" s="135" t="s">
        <v>831</v>
      </c>
      <c r="B1" s="136"/>
      <c r="C1" s="137" t="s">
        <v>832</v>
      </c>
      <c r="D1" s="138"/>
      <c r="E1" s="139"/>
      <c r="F1" s="16">
        <f>VLOOKUP("SAP Equipment # (if known)",CA_4007,2,FALSE)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VLOOKUP(A4,CA_4007,2,FALSE)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3.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4.57421875" style="0" customWidth="1"/>
  </cols>
  <sheetData>
    <row r="1" spans="1:6" ht="12.75">
      <c r="A1" s="135" t="s">
        <v>831</v>
      </c>
      <c r="B1" s="136"/>
      <c r="C1" s="137" t="s">
        <v>832</v>
      </c>
      <c r="D1" s="138"/>
      <c r="E1" s="139"/>
      <c r="F1" s="16">
        <f>VLOOKUP("SAP Equipment # (if known)",CA_4008,2,FALSE)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VLOOKUP(A4,CA_4008,2,FALSE)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4.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40.28125" style="0" customWidth="1"/>
  </cols>
  <sheetData>
    <row r="1" spans="1:6" ht="12.75">
      <c r="A1" s="135" t="s">
        <v>831</v>
      </c>
      <c r="B1" s="136"/>
      <c r="C1" s="137" t="s">
        <v>832</v>
      </c>
      <c r="D1" s="138"/>
      <c r="E1" s="139"/>
      <c r="F1" s="16">
        <f>VLOOKUP("SAP Equipment # (if known)",CA_4009,2,FALSE)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VLOOKUP(A4,CA_4009,2,FALSE)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5.xml><?xml version="1.0" encoding="utf-8"?>
<worksheet xmlns="http://schemas.openxmlformats.org/spreadsheetml/2006/main" xmlns:r="http://schemas.openxmlformats.org/officeDocument/2006/relationships">
  <dimension ref="A1:F23"/>
  <sheetViews>
    <sheetView workbookViewId="0" topLeftCell="A1">
      <selection activeCell="B5" sqref="B5"/>
    </sheetView>
  </sheetViews>
  <sheetFormatPr defaultColWidth="9.140625" defaultRowHeight="12.75"/>
  <cols>
    <col min="6" max="6" width="21.7109375" style="0" customWidth="1"/>
  </cols>
  <sheetData>
    <row r="1" spans="1:6" ht="12.75">
      <c r="A1" s="135" t="s">
        <v>831</v>
      </c>
      <c r="B1" s="136"/>
      <c r="C1" s="137" t="s">
        <v>832</v>
      </c>
      <c r="D1" s="138"/>
      <c r="E1" s="139"/>
      <c r="F1" s="16">
        <f>VLOOKUP("SAP Equipment # (if known)",CA_4015,2,FALSE)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19</v>
      </c>
      <c r="B4" s="20" t="s">
        <v>839</v>
      </c>
      <c r="C4" s="21">
        <v>15</v>
      </c>
      <c r="D4" s="21">
        <v>0</v>
      </c>
      <c r="E4" s="20"/>
      <c r="F4" s="22" t="str">
        <f aca="true" t="shared" si="0" ref="F4:F23">VLOOKUP(A4,CA_4015,2,FALSE)</f>
        <v>/</v>
      </c>
    </row>
    <row r="5" spans="1:6" ht="15.75">
      <c r="A5" s="5" t="s">
        <v>438</v>
      </c>
      <c r="B5" s="20" t="s">
        <v>839</v>
      </c>
      <c r="C5" s="21">
        <v>15</v>
      </c>
      <c r="D5" s="21">
        <v>0</v>
      </c>
      <c r="E5" s="20"/>
      <c r="F5" s="22" t="str">
        <f t="shared" si="0"/>
        <v>/</v>
      </c>
    </row>
    <row r="6" spans="1:6" ht="15.75">
      <c r="A6" s="5" t="s">
        <v>424</v>
      </c>
      <c r="B6" s="20" t="s">
        <v>839</v>
      </c>
      <c r="C6" s="21">
        <v>15</v>
      </c>
      <c r="D6" s="21">
        <v>0</v>
      </c>
      <c r="E6" s="20"/>
      <c r="F6" s="22" t="str">
        <f t="shared" si="0"/>
        <v>/</v>
      </c>
    </row>
    <row r="7" spans="1:6" ht="15.75">
      <c r="A7" s="5" t="s">
        <v>439</v>
      </c>
      <c r="B7" s="20" t="s">
        <v>839</v>
      </c>
      <c r="C7" s="21">
        <v>15</v>
      </c>
      <c r="D7" s="21">
        <v>0</v>
      </c>
      <c r="E7" s="20"/>
      <c r="F7" s="22" t="str">
        <f t="shared" si="0"/>
        <v>/</v>
      </c>
    </row>
    <row r="8" spans="1:6" ht="15.75">
      <c r="A8" s="5" t="s">
        <v>440</v>
      </c>
      <c r="B8" s="20" t="s">
        <v>839</v>
      </c>
      <c r="C8" s="21">
        <v>15</v>
      </c>
      <c r="D8" s="21">
        <v>0</v>
      </c>
      <c r="E8" s="20"/>
      <c r="F8" s="22" t="str">
        <f t="shared" si="0"/>
        <v>/</v>
      </c>
    </row>
    <row r="9" spans="1:6" ht="15.75">
      <c r="A9" s="5" t="s">
        <v>441</v>
      </c>
      <c r="B9" s="20" t="s">
        <v>839</v>
      </c>
      <c r="C9" s="21">
        <v>15</v>
      </c>
      <c r="D9" s="21">
        <v>0</v>
      </c>
      <c r="E9" s="20"/>
      <c r="F9" s="22" t="str">
        <f t="shared" si="0"/>
        <v>/</v>
      </c>
    </row>
    <row r="10" spans="1:6" ht="15.75">
      <c r="A10" s="5" t="s">
        <v>442</v>
      </c>
      <c r="B10" s="20" t="s">
        <v>839</v>
      </c>
      <c r="C10" s="21">
        <v>15</v>
      </c>
      <c r="D10" s="21">
        <v>0</v>
      </c>
      <c r="E10" s="20"/>
      <c r="F10" s="22" t="str">
        <f t="shared" si="0"/>
        <v>/</v>
      </c>
    </row>
    <row r="11" spans="1:6" ht="15.75">
      <c r="A11" s="5" t="s">
        <v>443</v>
      </c>
      <c r="B11" s="20" t="s">
        <v>839</v>
      </c>
      <c r="C11" s="21">
        <v>15</v>
      </c>
      <c r="D11" s="21">
        <v>0</v>
      </c>
      <c r="E11" s="20"/>
      <c r="F11" s="22" t="str">
        <f t="shared" si="0"/>
        <v>/</v>
      </c>
    </row>
    <row r="12" spans="1:6" ht="15.75">
      <c r="A12" s="5" t="s">
        <v>444</v>
      </c>
      <c r="B12" s="20" t="s">
        <v>839</v>
      </c>
      <c r="C12" s="21">
        <v>15</v>
      </c>
      <c r="D12" s="21">
        <v>0</v>
      </c>
      <c r="E12" s="20"/>
      <c r="F12" s="22" t="str">
        <f t="shared" si="0"/>
        <v>/</v>
      </c>
    </row>
    <row r="13" spans="1:6" ht="15.75">
      <c r="A13" s="5" t="s">
        <v>445</v>
      </c>
      <c r="B13" s="20" t="s">
        <v>839</v>
      </c>
      <c r="C13" s="21">
        <v>15</v>
      </c>
      <c r="D13" s="21">
        <v>0</v>
      </c>
      <c r="E13" s="20"/>
      <c r="F13" s="22" t="str">
        <f t="shared" si="0"/>
        <v>/</v>
      </c>
    </row>
    <row r="14" spans="1:6" ht="15.75">
      <c r="A14" s="5" t="s">
        <v>446</v>
      </c>
      <c r="B14" s="20" t="s">
        <v>839</v>
      </c>
      <c r="C14" s="21">
        <v>15</v>
      </c>
      <c r="D14" s="21">
        <v>0</v>
      </c>
      <c r="E14" s="20"/>
      <c r="F14" s="22" t="str">
        <f t="shared" si="0"/>
        <v>/</v>
      </c>
    </row>
    <row r="15" spans="1:6" ht="15.75">
      <c r="A15" s="5" t="s">
        <v>447</v>
      </c>
      <c r="B15" s="20" t="s">
        <v>839</v>
      </c>
      <c r="C15" s="21">
        <v>15</v>
      </c>
      <c r="D15" s="21">
        <v>0</v>
      </c>
      <c r="E15" s="20"/>
      <c r="F15" s="22" t="str">
        <f t="shared" si="0"/>
        <v>/</v>
      </c>
    </row>
    <row r="16" spans="1:6" ht="15.75">
      <c r="A16" s="5" t="s">
        <v>119</v>
      </c>
      <c r="B16" s="20" t="s">
        <v>839</v>
      </c>
      <c r="C16" s="21">
        <v>15</v>
      </c>
      <c r="D16" s="21">
        <v>0</v>
      </c>
      <c r="E16" s="20"/>
      <c r="F16" s="22" t="str">
        <f t="shared" si="0"/>
        <v>/</v>
      </c>
    </row>
    <row r="17" spans="1:6" ht="15.75">
      <c r="A17" s="5" t="s">
        <v>448</v>
      </c>
      <c r="B17" s="20" t="s">
        <v>839</v>
      </c>
      <c r="C17" s="21">
        <v>15</v>
      </c>
      <c r="D17" s="21">
        <v>0</v>
      </c>
      <c r="E17" s="20"/>
      <c r="F17" s="22" t="str">
        <f t="shared" si="0"/>
        <v>/</v>
      </c>
    </row>
    <row r="18" spans="1:6" ht="15.75">
      <c r="A18" s="5" t="s">
        <v>382</v>
      </c>
      <c r="B18" s="20" t="s">
        <v>839</v>
      </c>
      <c r="C18" s="21">
        <v>15</v>
      </c>
      <c r="D18" s="21">
        <v>0</v>
      </c>
      <c r="E18" s="20"/>
      <c r="F18" s="22" t="str">
        <f t="shared" si="0"/>
        <v>/</v>
      </c>
    </row>
    <row r="19" spans="1:6" ht="15.75">
      <c r="A19" s="5" t="s">
        <v>449</v>
      </c>
      <c r="B19" s="20" t="s">
        <v>839</v>
      </c>
      <c r="C19" s="21">
        <v>15</v>
      </c>
      <c r="D19" s="21">
        <v>0</v>
      </c>
      <c r="E19" s="20"/>
      <c r="F19" s="22" t="str">
        <f t="shared" si="0"/>
        <v>/</v>
      </c>
    </row>
    <row r="20" spans="1:6" ht="15.75">
      <c r="A20" s="5" t="s">
        <v>450</v>
      </c>
      <c r="B20" s="20" t="s">
        <v>839</v>
      </c>
      <c r="C20" s="21">
        <v>15</v>
      </c>
      <c r="D20" s="21">
        <v>0</v>
      </c>
      <c r="E20" s="20"/>
      <c r="F20" s="22" t="str">
        <f t="shared" si="0"/>
        <v>/</v>
      </c>
    </row>
    <row r="21" spans="1:6" ht="15.75">
      <c r="A21" s="5" t="s">
        <v>451</v>
      </c>
      <c r="B21" s="20" t="s">
        <v>839</v>
      </c>
      <c r="C21" s="21">
        <v>15</v>
      </c>
      <c r="D21" s="21">
        <v>0</v>
      </c>
      <c r="E21" s="20"/>
      <c r="F21" s="22" t="str">
        <f t="shared" si="0"/>
        <v>/</v>
      </c>
    </row>
    <row r="22" spans="1:6" ht="15.75">
      <c r="A22" s="5" t="s">
        <v>452</v>
      </c>
      <c r="B22" s="20" t="s">
        <v>839</v>
      </c>
      <c r="C22" s="21">
        <v>15</v>
      </c>
      <c r="D22" s="21">
        <v>0</v>
      </c>
      <c r="E22" s="20"/>
      <c r="F22" s="22" t="str">
        <f t="shared" si="0"/>
        <v>/</v>
      </c>
    </row>
    <row r="23" spans="1:6" ht="15.75">
      <c r="A23" s="5" t="s">
        <v>453</v>
      </c>
      <c r="B23" s="20" t="s">
        <v>839</v>
      </c>
      <c r="C23" s="21">
        <v>15</v>
      </c>
      <c r="D23" s="21">
        <v>0</v>
      </c>
      <c r="E23" s="20"/>
      <c r="F23"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6.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6.00390625" style="0" customWidth="1"/>
  </cols>
  <sheetData>
    <row r="1" spans="1:6" ht="12.75">
      <c r="A1" s="135" t="s">
        <v>831</v>
      </c>
      <c r="B1" s="136"/>
      <c r="C1" s="137" t="s">
        <v>832</v>
      </c>
      <c r="D1" s="138"/>
      <c r="E1" s="139"/>
      <c r="F1" s="16">
        <f>VLOOKUP("SAP Equipment # (if known)",CA_4017,2,FALSE)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VLOOKUP(A4,CA_4017,2,FALSE)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7.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1.421875" style="0" customWidth="1"/>
  </cols>
  <sheetData>
    <row r="1" spans="1:6" ht="12.75">
      <c r="A1" s="135" t="s">
        <v>831</v>
      </c>
      <c r="B1" s="136"/>
      <c r="C1" s="137" t="s">
        <v>832</v>
      </c>
      <c r="D1" s="138"/>
      <c r="E1" s="139"/>
      <c r="F1" s="16">
        <f>VLOOKUP("SAP Equipment # (if known)",CA_4018,2,FALSE)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VLOOKUP(A4,CA_4018,2,FALSE)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68.xml><?xml version="1.0" encoding="utf-8"?>
<worksheet xmlns="http://schemas.openxmlformats.org/spreadsheetml/2006/main" xmlns:r="http://schemas.openxmlformats.org/officeDocument/2006/relationships">
  <dimension ref="A1:G24"/>
  <sheetViews>
    <sheetView workbookViewId="0" topLeftCell="A1">
      <selection activeCell="B5" sqref="B5"/>
    </sheetView>
  </sheetViews>
  <sheetFormatPr defaultColWidth="9.140625" defaultRowHeight="12.75"/>
  <cols>
    <col min="6" max="7" width="19.00390625" style="0" customWidth="1"/>
  </cols>
  <sheetData>
    <row r="1" spans="1:7" ht="12.75">
      <c r="A1" s="135" t="s">
        <v>831</v>
      </c>
      <c r="B1" s="136"/>
      <c r="C1" s="137" t="s">
        <v>832</v>
      </c>
      <c r="D1" s="138"/>
      <c r="E1" s="139"/>
      <c r="F1" s="16">
        <f>VLOOKUP("SAP Equipment # (if known)",CA_4117,2,FALSE)</f>
        <v>10713086</v>
      </c>
      <c r="G1" s="16">
        <f>VLOOKUP("SAP Equipment # (if known)",CA_4117,3,FALSE)</f>
        <v>10712945</v>
      </c>
    </row>
    <row r="2" spans="1:7" ht="12.75">
      <c r="A2" s="137" t="s">
        <v>833</v>
      </c>
      <c r="B2" s="138"/>
      <c r="C2" s="138"/>
      <c r="D2" s="138"/>
      <c r="E2" s="139"/>
      <c r="F2" s="16"/>
      <c r="G2" s="16"/>
    </row>
    <row r="3" spans="1:7" ht="25.5">
      <c r="A3" s="17" t="s">
        <v>834</v>
      </c>
      <c r="B3" s="18" t="s">
        <v>835</v>
      </c>
      <c r="C3" s="18" t="s">
        <v>836</v>
      </c>
      <c r="D3" s="18" t="s">
        <v>837</v>
      </c>
      <c r="E3" s="18" t="s">
        <v>838</v>
      </c>
      <c r="F3" s="16"/>
      <c r="G3" s="16"/>
    </row>
    <row r="4" spans="1:7" ht="15.75">
      <c r="A4" s="19" t="s">
        <v>19</v>
      </c>
      <c r="B4" s="20" t="s">
        <v>839</v>
      </c>
      <c r="C4" s="21">
        <v>15</v>
      </c>
      <c r="D4" s="21">
        <v>0</v>
      </c>
      <c r="E4" s="20"/>
      <c r="F4" s="22" t="str">
        <f aca="true" t="shared" si="0" ref="F4:F24">VLOOKUP(A4,CA_4117,2,FALSE)</f>
        <v>Controllable Asset</v>
      </c>
      <c r="G4" s="22" t="str">
        <f>VLOOKUP(A4,CA_4117,3,FALSE)</f>
        <v>Controllable Asset</v>
      </c>
    </row>
    <row r="5" spans="1:7" ht="15.75">
      <c r="A5" s="19" t="s">
        <v>420</v>
      </c>
      <c r="B5" s="20" t="s">
        <v>839</v>
      </c>
      <c r="C5" s="21">
        <v>15</v>
      </c>
      <c r="D5" s="21">
        <v>0</v>
      </c>
      <c r="E5" s="20"/>
      <c r="F5" s="22" t="str">
        <f t="shared" si="0"/>
        <v>/</v>
      </c>
      <c r="G5" s="22" t="str">
        <f aca="true" t="shared" si="1" ref="G5:G24">VLOOKUP(A5,CA_4117,3,FALSE)</f>
        <v>/</v>
      </c>
    </row>
    <row r="6" spans="1:7" ht="15.75">
      <c r="A6" s="19" t="s">
        <v>421</v>
      </c>
      <c r="B6" s="20" t="s">
        <v>839</v>
      </c>
      <c r="C6" s="21">
        <v>15</v>
      </c>
      <c r="D6" s="21">
        <v>0</v>
      </c>
      <c r="E6" s="20"/>
      <c r="F6" s="22" t="str">
        <f t="shared" si="0"/>
        <v>/</v>
      </c>
      <c r="G6" s="22" t="str">
        <f t="shared" si="1"/>
        <v>/</v>
      </c>
    </row>
    <row r="7" spans="1:7" ht="15.75">
      <c r="A7" s="19" t="s">
        <v>454</v>
      </c>
      <c r="B7" s="20" t="s">
        <v>839</v>
      </c>
      <c r="C7" s="21">
        <v>15</v>
      </c>
      <c r="D7" s="21">
        <v>0</v>
      </c>
      <c r="E7" s="20"/>
      <c r="F7" s="22" t="str">
        <f t="shared" si="0"/>
        <v>/</v>
      </c>
      <c r="G7" s="22" t="str">
        <f t="shared" si="1"/>
        <v>/</v>
      </c>
    </row>
    <row r="8" spans="1:7" ht="15.75">
      <c r="A8" s="19" t="s">
        <v>455</v>
      </c>
      <c r="B8" s="20" t="s">
        <v>839</v>
      </c>
      <c r="C8" s="21">
        <v>15</v>
      </c>
      <c r="D8" s="21">
        <v>0</v>
      </c>
      <c r="E8" s="20"/>
      <c r="F8" s="22" t="str">
        <f t="shared" si="0"/>
        <v>/</v>
      </c>
      <c r="G8" s="22" t="str">
        <f t="shared" si="1"/>
        <v>/</v>
      </c>
    </row>
    <row r="9" spans="1:7" ht="15.75">
      <c r="A9" s="19" t="s">
        <v>424</v>
      </c>
      <c r="B9" s="20" t="s">
        <v>839</v>
      </c>
      <c r="C9" s="21">
        <v>15</v>
      </c>
      <c r="D9" s="21">
        <v>0</v>
      </c>
      <c r="E9" s="20"/>
      <c r="F9" s="22" t="str">
        <f t="shared" si="0"/>
        <v>F2243.2</v>
      </c>
      <c r="G9" s="22" t="str">
        <f t="shared" si="1"/>
        <v>F1027.2</v>
      </c>
    </row>
    <row r="10" spans="1:7" ht="15.75">
      <c r="A10" s="19" t="s">
        <v>493</v>
      </c>
      <c r="B10" s="20" t="s">
        <v>839</v>
      </c>
      <c r="C10" s="21">
        <v>15</v>
      </c>
      <c r="D10" s="21">
        <v>0</v>
      </c>
      <c r="E10" s="20"/>
      <c r="F10" s="22" t="str">
        <f t="shared" si="0"/>
        <v>/</v>
      </c>
      <c r="G10" s="22" t="str">
        <f t="shared" si="1"/>
        <v>/</v>
      </c>
    </row>
    <row r="11" spans="1:7" ht="15.75">
      <c r="A11" s="19" t="s">
        <v>456</v>
      </c>
      <c r="B11" s="20" t="s">
        <v>839</v>
      </c>
      <c r="C11" s="21">
        <v>15</v>
      </c>
      <c r="D11" s="21">
        <v>0</v>
      </c>
      <c r="E11" s="20"/>
      <c r="F11" s="22" t="str">
        <f t="shared" si="0"/>
        <v>/</v>
      </c>
      <c r="G11" s="22" t="str">
        <f t="shared" si="1"/>
        <v>/</v>
      </c>
    </row>
    <row r="12" spans="1:7" ht="15.75">
      <c r="A12" s="19" t="s">
        <v>457</v>
      </c>
      <c r="B12" s="20" t="s">
        <v>839</v>
      </c>
      <c r="C12" s="21">
        <v>15</v>
      </c>
      <c r="D12" s="21">
        <v>0</v>
      </c>
      <c r="E12" s="20"/>
      <c r="F12" s="22" t="str">
        <f t="shared" si="0"/>
        <v>/</v>
      </c>
      <c r="G12" s="22" t="str">
        <f t="shared" si="1"/>
        <v>/</v>
      </c>
    </row>
    <row r="13" spans="1:7" ht="15.75">
      <c r="A13" s="19" t="s">
        <v>458</v>
      </c>
      <c r="B13" s="20" t="s">
        <v>839</v>
      </c>
      <c r="C13" s="21">
        <v>15</v>
      </c>
      <c r="D13" s="21">
        <v>0</v>
      </c>
      <c r="E13" s="20"/>
      <c r="F13" s="22" t="str">
        <f t="shared" si="0"/>
        <v>/</v>
      </c>
      <c r="G13" s="22" t="str">
        <f t="shared" si="1"/>
        <v>/</v>
      </c>
    </row>
    <row r="14" spans="1:7" ht="15.75">
      <c r="A14" s="19" t="s">
        <v>430</v>
      </c>
      <c r="B14" s="20" t="s">
        <v>839</v>
      </c>
      <c r="C14" s="21">
        <v>15</v>
      </c>
      <c r="D14" s="21">
        <v>0</v>
      </c>
      <c r="E14" s="20"/>
      <c r="F14" s="22" t="str">
        <f t="shared" si="0"/>
        <v>/</v>
      </c>
      <c r="G14" s="22" t="str">
        <f t="shared" si="1"/>
        <v>/</v>
      </c>
    </row>
    <row r="15" spans="1:7" ht="15.75">
      <c r="A15" s="19" t="s">
        <v>495</v>
      </c>
      <c r="B15" s="20" t="s">
        <v>839</v>
      </c>
      <c r="C15" s="21">
        <v>15</v>
      </c>
      <c r="D15" s="21">
        <v>0</v>
      </c>
      <c r="E15" s="20"/>
      <c r="F15" s="22" t="str">
        <f t="shared" si="0"/>
        <v>/</v>
      </c>
      <c r="G15" s="22" t="str">
        <f t="shared" si="1"/>
        <v>/</v>
      </c>
    </row>
    <row r="16" spans="1:7" ht="15.75">
      <c r="A16" s="19" t="s">
        <v>498</v>
      </c>
      <c r="B16" s="20" t="s">
        <v>839</v>
      </c>
      <c r="C16" s="21">
        <v>15</v>
      </c>
      <c r="D16" s="21">
        <v>0</v>
      </c>
      <c r="E16" s="20"/>
      <c r="F16" s="22" t="str">
        <f t="shared" si="0"/>
        <v>/</v>
      </c>
      <c r="G16" s="22" t="str">
        <f t="shared" si="1"/>
        <v>/</v>
      </c>
    </row>
    <row r="17" spans="1:7" ht="15.75">
      <c r="A17" s="19" t="s">
        <v>459</v>
      </c>
      <c r="B17" s="20" t="s">
        <v>839</v>
      </c>
      <c r="C17" s="21">
        <v>15</v>
      </c>
      <c r="D17" s="21">
        <v>0</v>
      </c>
      <c r="E17" s="20"/>
      <c r="F17" s="22" t="str">
        <f t="shared" si="0"/>
        <v>/</v>
      </c>
      <c r="G17" s="22" t="str">
        <f t="shared" si="1"/>
        <v>/</v>
      </c>
    </row>
    <row r="18" spans="1:7" ht="15.75">
      <c r="A18" s="19" t="s">
        <v>460</v>
      </c>
      <c r="B18" s="20" t="s">
        <v>839</v>
      </c>
      <c r="C18" s="21">
        <v>15</v>
      </c>
      <c r="D18" s="21">
        <v>0</v>
      </c>
      <c r="E18" s="20"/>
      <c r="F18" s="22" t="str">
        <f t="shared" si="0"/>
        <v>/</v>
      </c>
      <c r="G18" s="22" t="str">
        <f t="shared" si="1"/>
        <v>/</v>
      </c>
    </row>
    <row r="19" spans="1:7" ht="15.75">
      <c r="A19" s="19" t="s">
        <v>419</v>
      </c>
      <c r="B19" s="20" t="s">
        <v>839</v>
      </c>
      <c r="C19" s="21">
        <v>15</v>
      </c>
      <c r="D19" s="21">
        <v>0</v>
      </c>
      <c r="E19" s="20"/>
      <c r="F19" s="22" t="str">
        <f t="shared" si="0"/>
        <v>/</v>
      </c>
      <c r="G19" s="22" t="str">
        <f t="shared" si="1"/>
        <v>/</v>
      </c>
    </row>
    <row r="20" spans="1:7" ht="15.75">
      <c r="A20" s="19" t="s">
        <v>461</v>
      </c>
      <c r="B20" s="20" t="s">
        <v>839</v>
      </c>
      <c r="C20" s="21">
        <v>15</v>
      </c>
      <c r="D20" s="21">
        <v>0</v>
      </c>
      <c r="E20" s="20"/>
      <c r="F20" s="22" t="str">
        <f t="shared" si="0"/>
        <v>/</v>
      </c>
      <c r="G20" s="22" t="str">
        <f t="shared" si="1"/>
        <v>/</v>
      </c>
    </row>
    <row r="21" spans="1:7" ht="15.75">
      <c r="A21" s="19" t="s">
        <v>462</v>
      </c>
      <c r="B21" s="20" t="s">
        <v>839</v>
      </c>
      <c r="C21" s="21">
        <v>15</v>
      </c>
      <c r="D21" s="21">
        <v>0</v>
      </c>
      <c r="E21" s="20"/>
      <c r="F21" s="22" t="str">
        <f t="shared" si="0"/>
        <v>/</v>
      </c>
      <c r="G21" s="22" t="str">
        <f t="shared" si="1"/>
        <v>/</v>
      </c>
    </row>
    <row r="22" spans="1:7" ht="15.75">
      <c r="A22" s="19" t="s">
        <v>463</v>
      </c>
      <c r="B22" s="20" t="s">
        <v>839</v>
      </c>
      <c r="C22" s="21">
        <v>15</v>
      </c>
      <c r="D22" s="21">
        <v>0</v>
      </c>
      <c r="E22" s="20"/>
      <c r="F22" s="22" t="str">
        <f t="shared" si="0"/>
        <v>/</v>
      </c>
      <c r="G22" s="22" t="str">
        <f t="shared" si="1"/>
        <v>/</v>
      </c>
    </row>
    <row r="23" spans="1:7" ht="15.75">
      <c r="A23" s="19" t="s">
        <v>119</v>
      </c>
      <c r="B23" s="20" t="s">
        <v>839</v>
      </c>
      <c r="C23" s="21">
        <v>15</v>
      </c>
      <c r="D23" s="21">
        <v>0</v>
      </c>
      <c r="E23" s="20"/>
      <c r="F23" s="22" t="str">
        <f t="shared" si="0"/>
        <v>Conoco Phillips 100%</v>
      </c>
      <c r="G23" s="22" t="str">
        <f t="shared" si="1"/>
        <v>Conoco Philllips 100%</v>
      </c>
    </row>
    <row r="24" spans="1:7" ht="15.75">
      <c r="A24" s="19" t="s">
        <v>351</v>
      </c>
      <c r="B24" s="20" t="s">
        <v>839</v>
      </c>
      <c r="C24" s="21">
        <v>15</v>
      </c>
      <c r="D24" s="21">
        <v>0</v>
      </c>
      <c r="E24" s="20"/>
      <c r="F24" s="22" t="str">
        <f t="shared" si="0"/>
        <v>GAS</v>
      </c>
      <c r="G24" s="22" t="str">
        <f t="shared" si="1"/>
        <v>GAS</v>
      </c>
    </row>
  </sheetData>
  <mergeCells count="3">
    <mergeCell ref="A1:B1"/>
    <mergeCell ref="C1:E1"/>
    <mergeCell ref="A2:E2"/>
  </mergeCells>
  <printOptions/>
  <pageMargins left="0.75" right="0.75" top="1" bottom="1" header="0.5" footer="0.5"/>
  <pageSetup orientation="portrait" paperSize="9"/>
</worksheet>
</file>

<file path=xl/worksheets/sheet69.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4.140625" style="0" customWidth="1"/>
  </cols>
  <sheetData>
    <row r="1" spans="1:6" ht="12.75">
      <c r="A1" s="135" t="s">
        <v>831</v>
      </c>
      <c r="B1" s="136"/>
      <c r="C1" s="137" t="s">
        <v>832</v>
      </c>
      <c r="D1" s="138"/>
      <c r="E1" s="139"/>
      <c r="F1" s="16">
        <f>VLOOKUP("SAP Equipment # (if known)",ca_4102,2,FALSE)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19" t="s">
        <v>19</v>
      </c>
      <c r="B4" s="20" t="s">
        <v>839</v>
      </c>
      <c r="C4" s="21">
        <v>15</v>
      </c>
      <c r="D4" s="21">
        <v>0</v>
      </c>
      <c r="E4" s="20"/>
      <c r="F4" s="22" t="str">
        <f aca="true" t="shared" si="0" ref="F4:F22">VLOOKUP(A4,ca_4102,2,FALSE)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v>
      </c>
    </row>
    <row r="10" spans="1:6" ht="15.75">
      <c r="A10" s="19" t="s">
        <v>493</v>
      </c>
      <c r="B10" s="20" t="s">
        <v>839</v>
      </c>
      <c r="C10" s="21">
        <v>15</v>
      </c>
      <c r="D10" s="21">
        <v>0</v>
      </c>
      <c r="E10" s="20"/>
      <c r="F10" s="22" t="str">
        <f t="shared" si="0"/>
        <v>/</v>
      </c>
    </row>
    <row r="11" spans="1:6" ht="15.75">
      <c r="A11" s="19" t="s">
        <v>430</v>
      </c>
      <c r="B11" s="20" t="s">
        <v>839</v>
      </c>
      <c r="C11" s="21">
        <v>15</v>
      </c>
      <c r="D11" s="21">
        <v>0</v>
      </c>
      <c r="E11" s="20"/>
      <c r="F11" s="22" t="str">
        <f t="shared" si="0"/>
        <v>/</v>
      </c>
    </row>
    <row r="12" spans="1:6" ht="15.75">
      <c r="A12" s="19" t="s">
        <v>495</v>
      </c>
      <c r="B12" s="20" t="s">
        <v>839</v>
      </c>
      <c r="C12" s="21">
        <v>15</v>
      </c>
      <c r="D12" s="21">
        <v>0</v>
      </c>
      <c r="E12" s="20"/>
      <c r="F12" s="22" t="str">
        <f t="shared" si="0"/>
        <v>/</v>
      </c>
    </row>
    <row r="13" spans="1:6" ht="15.75">
      <c r="A13" s="19" t="s">
        <v>498</v>
      </c>
      <c r="B13" s="20" t="s">
        <v>839</v>
      </c>
      <c r="C13" s="21">
        <v>15</v>
      </c>
      <c r="D13" s="21">
        <v>0</v>
      </c>
      <c r="E13" s="20"/>
      <c r="F13" s="22" t="str">
        <f t="shared" si="0"/>
        <v>/</v>
      </c>
    </row>
    <row r="14" spans="1:6" ht="15.75">
      <c r="A14" s="19" t="s">
        <v>499</v>
      </c>
      <c r="B14" s="20" t="s">
        <v>839</v>
      </c>
      <c r="C14" s="21">
        <v>15</v>
      </c>
      <c r="D14" s="21">
        <v>0</v>
      </c>
      <c r="E14" s="20"/>
      <c r="F14" s="22" t="str">
        <f t="shared" si="0"/>
        <v>/</v>
      </c>
    </row>
    <row r="15" spans="1:6" ht="15.75">
      <c r="A15" s="19" t="s">
        <v>500</v>
      </c>
      <c r="B15" s="20" t="s">
        <v>839</v>
      </c>
      <c r="C15" s="21">
        <v>15</v>
      </c>
      <c r="D15" s="21">
        <v>0</v>
      </c>
      <c r="E15" s="20"/>
      <c r="F15" s="22" t="str">
        <f t="shared" si="0"/>
        <v>/</v>
      </c>
    </row>
    <row r="16" spans="1:6" ht="15.75">
      <c r="A16" s="19" t="s">
        <v>1282</v>
      </c>
      <c r="B16" s="20" t="s">
        <v>839</v>
      </c>
      <c r="C16" s="21">
        <v>15</v>
      </c>
      <c r="D16" s="21">
        <v>0</v>
      </c>
      <c r="E16" s="20"/>
      <c r="F16" s="22" t="str">
        <f t="shared" si="0"/>
        <v>/</v>
      </c>
    </row>
    <row r="17" spans="1:6" ht="15.75">
      <c r="A17" s="19" t="s">
        <v>502</v>
      </c>
      <c r="B17" s="20" t="s">
        <v>839</v>
      </c>
      <c r="C17" s="21">
        <v>15</v>
      </c>
      <c r="D17" s="21">
        <v>0</v>
      </c>
      <c r="E17" s="20"/>
      <c r="F17" s="22" t="str">
        <f t="shared" si="0"/>
        <v>/</v>
      </c>
    </row>
    <row r="18" spans="1:6" ht="15.75">
      <c r="A18" s="19" t="s">
        <v>1283</v>
      </c>
      <c r="B18" s="20" t="s">
        <v>839</v>
      </c>
      <c r="C18" s="21">
        <v>15</v>
      </c>
      <c r="D18" s="21">
        <v>0</v>
      </c>
      <c r="E18" s="20"/>
      <c r="F18" s="22" t="str">
        <f t="shared" si="0"/>
        <v>/</v>
      </c>
    </row>
    <row r="19" spans="1:6" ht="15.75">
      <c r="A19" s="19" t="s">
        <v>119</v>
      </c>
      <c r="B19" s="20" t="s">
        <v>839</v>
      </c>
      <c r="C19" s="21">
        <v>15</v>
      </c>
      <c r="D19" s="21">
        <v>0</v>
      </c>
      <c r="E19" s="20"/>
      <c r="F19" s="22" t="str">
        <f t="shared" si="0"/>
        <v>/</v>
      </c>
    </row>
    <row r="20" spans="1:6" ht="15.75">
      <c r="A20" s="19" t="s">
        <v>351</v>
      </c>
      <c r="B20" s="20" t="s">
        <v>839</v>
      </c>
      <c r="C20" s="21">
        <v>15</v>
      </c>
      <c r="D20" s="21">
        <v>0</v>
      </c>
      <c r="E20" s="20"/>
      <c r="F20" s="22" t="str">
        <f t="shared" si="0"/>
        <v>/</v>
      </c>
    </row>
    <row r="21" spans="1:6" ht="15.75">
      <c r="A21" s="19" t="s">
        <v>504</v>
      </c>
      <c r="B21" s="20" t="s">
        <v>839</v>
      </c>
      <c r="C21" s="21">
        <v>15</v>
      </c>
      <c r="D21" s="21">
        <v>0</v>
      </c>
      <c r="E21" s="20"/>
      <c r="F21" s="22" t="str">
        <f t="shared" si="0"/>
        <v>/</v>
      </c>
    </row>
    <row r="22" spans="1:6" ht="15.75">
      <c r="A22" s="19" t="s">
        <v>1284</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E44"/>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134</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5" t="s">
        <v>19</v>
      </c>
      <c r="B20" s="87" t="s">
        <v>879</v>
      </c>
      <c r="C20" s="23" t="s">
        <v>510</v>
      </c>
    </row>
    <row r="21" spans="1:3" ht="12.75">
      <c r="A21" s="5" t="s">
        <v>119</v>
      </c>
      <c r="B21" s="87" t="s">
        <v>879</v>
      </c>
      <c r="C21" s="23"/>
    </row>
    <row r="22" spans="1:3" ht="12.75">
      <c r="A22" s="5" t="s">
        <v>1296</v>
      </c>
      <c r="B22" s="87" t="s">
        <v>879</v>
      </c>
      <c r="C22" s="23" t="s">
        <v>510</v>
      </c>
    </row>
    <row r="23" spans="1:3" ht="12.75">
      <c r="A23" s="5" t="s">
        <v>353</v>
      </c>
      <c r="B23" s="87" t="s">
        <v>879</v>
      </c>
      <c r="C23" s="23"/>
    </row>
    <row r="24" spans="1:3" ht="12.75">
      <c r="A24" s="5" t="s">
        <v>354</v>
      </c>
      <c r="B24" s="87" t="s">
        <v>879</v>
      </c>
      <c r="C24" s="23" t="s">
        <v>355</v>
      </c>
    </row>
    <row r="26" spans="1:3" ht="25.5">
      <c r="A26" s="76" t="s">
        <v>1252</v>
      </c>
      <c r="B26" s="74"/>
      <c r="C26" s="23" t="s">
        <v>510</v>
      </c>
    </row>
    <row r="27" spans="1:3" ht="25.5">
      <c r="A27" s="76" t="s">
        <v>1253</v>
      </c>
      <c r="B27" s="74"/>
      <c r="C27" s="23" t="s">
        <v>510</v>
      </c>
    </row>
    <row r="28" spans="1:3" ht="12.75">
      <c r="A28" s="76" t="s">
        <v>1254</v>
      </c>
      <c r="B28" s="74"/>
      <c r="C28" s="23" t="s">
        <v>510</v>
      </c>
    </row>
    <row r="29" spans="1:3" ht="38.25">
      <c r="A29" s="76" t="s">
        <v>1255</v>
      </c>
      <c r="B29" s="74"/>
      <c r="C29" s="23" t="s">
        <v>510</v>
      </c>
    </row>
    <row r="30" spans="1:3" ht="51">
      <c r="A30" s="76" t="s">
        <v>1256</v>
      </c>
      <c r="B30" s="74"/>
      <c r="C30" s="23" t="s">
        <v>510</v>
      </c>
    </row>
    <row r="31" spans="1:3" ht="51">
      <c r="A31" s="76" t="s">
        <v>1257</v>
      </c>
      <c r="B31" s="74"/>
      <c r="C31" s="23" t="s">
        <v>510</v>
      </c>
    </row>
    <row r="32" spans="1:3" ht="25.5">
      <c r="A32" s="76" t="s">
        <v>1258</v>
      </c>
      <c r="B32" s="74"/>
      <c r="C32" s="23"/>
    </row>
    <row r="34" spans="1:3" ht="12.75">
      <c r="A34" s="120" t="s">
        <v>154</v>
      </c>
      <c r="B34" s="120"/>
      <c r="C34" s="120"/>
    </row>
    <row r="35" spans="1:3" ht="12.75">
      <c r="A35" s="121"/>
      <c r="B35" s="122"/>
      <c r="C35" s="123"/>
    </row>
    <row r="36" spans="1:3" ht="12.75">
      <c r="A36" s="124"/>
      <c r="B36" s="125"/>
      <c r="C36" s="126"/>
    </row>
    <row r="37" spans="1:3" ht="12.75">
      <c r="A37" s="124"/>
      <c r="B37" s="125"/>
      <c r="C37" s="126"/>
    </row>
    <row r="38" spans="1:3" ht="12.75">
      <c r="A38" s="124"/>
      <c r="B38" s="125"/>
      <c r="C38" s="126"/>
    </row>
    <row r="39" spans="1:3" ht="12.75">
      <c r="A39" s="124"/>
      <c r="B39" s="125"/>
      <c r="C39" s="126"/>
    </row>
    <row r="40" spans="1:3" ht="12.75">
      <c r="A40" s="124"/>
      <c r="B40" s="125"/>
      <c r="C40" s="126"/>
    </row>
    <row r="41" spans="1:3" ht="12.75">
      <c r="A41" s="124"/>
      <c r="B41" s="125"/>
      <c r="C41" s="126"/>
    </row>
    <row r="42" spans="1:3" ht="12.75">
      <c r="A42" s="124"/>
      <c r="B42" s="125"/>
      <c r="C42" s="126"/>
    </row>
    <row r="43" spans="1:3" ht="12.75">
      <c r="A43" s="124"/>
      <c r="B43" s="125"/>
      <c r="C43" s="126"/>
    </row>
    <row r="44" spans="1:3" ht="12.75">
      <c r="A44" s="127"/>
      <c r="B44" s="128"/>
      <c r="C44" s="129"/>
    </row>
  </sheetData>
  <mergeCells count="2">
    <mergeCell ref="A34:C34"/>
    <mergeCell ref="A35:C44"/>
  </mergeCells>
  <dataValidations count="8">
    <dataValidation type="list" allowBlank="1" showInputMessage="1" showErrorMessage="1" sqref="B26:B31">
      <formula1>YES_NO</formula1>
    </dataValidation>
    <dataValidation errorStyle="warning" type="list" allowBlank="1" showInputMessage="1" showErrorMessage="1" sqref="B22">
      <formula1>SERVICE_MEDIUM_2</formula1>
    </dataValidation>
    <dataValidation errorStyle="warning" type="list" allowBlank="1" showInputMessage="1" showErrorMessage="1" sqref="B20">
      <formula1>Controllable_Asset_Indicator</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70.xml><?xml version="1.0" encoding="utf-8"?>
<worksheet xmlns="http://schemas.openxmlformats.org/spreadsheetml/2006/main" xmlns:r="http://schemas.openxmlformats.org/officeDocument/2006/relationships">
  <dimension ref="A1:F15"/>
  <sheetViews>
    <sheetView workbookViewId="0" topLeftCell="A1">
      <selection activeCell="B5" sqref="B5"/>
    </sheetView>
  </sheetViews>
  <sheetFormatPr defaultColWidth="9.140625" defaultRowHeight="12.75"/>
  <cols>
    <col min="6" max="6" width="22.140625" style="0" customWidth="1"/>
  </cols>
  <sheetData>
    <row r="1" spans="1:6" ht="12.75">
      <c r="A1" s="135" t="s">
        <v>831</v>
      </c>
      <c r="B1" s="136"/>
      <c r="C1" s="137" t="s">
        <v>832</v>
      </c>
      <c r="D1" s="138"/>
      <c r="E1" s="139"/>
      <c r="F1" s="16">
        <f>VLOOKUP("SAP Equipment # (if known)",CA_4120,2,FALSE)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19" t="s">
        <v>19</v>
      </c>
      <c r="B4" s="20" t="s">
        <v>839</v>
      </c>
      <c r="C4" s="21">
        <v>15</v>
      </c>
      <c r="D4" s="21">
        <v>0</v>
      </c>
      <c r="E4" s="20"/>
      <c r="F4" s="22" t="str">
        <f aca="true" t="shared" si="0" ref="F4:F15">VLOOKUP(A4,CA_4120,2,FALSE)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424</v>
      </c>
      <c r="B7" s="20" t="s">
        <v>839</v>
      </c>
      <c r="C7" s="21">
        <v>15</v>
      </c>
      <c r="D7" s="21">
        <v>0</v>
      </c>
      <c r="E7" s="20"/>
      <c r="F7" s="22" t="str">
        <f t="shared" si="0"/>
        <v>/</v>
      </c>
    </row>
    <row r="8" spans="1:6" ht="15.75">
      <c r="A8" s="19" t="s">
        <v>493</v>
      </c>
      <c r="B8" s="20" t="s">
        <v>839</v>
      </c>
      <c r="C8" s="21">
        <v>15</v>
      </c>
      <c r="D8" s="21">
        <v>0</v>
      </c>
      <c r="E8" s="20"/>
      <c r="F8" s="22" t="str">
        <f t="shared" si="0"/>
        <v>/</v>
      </c>
    </row>
    <row r="9" spans="1:6" ht="15.75">
      <c r="A9" s="19" t="s">
        <v>496</v>
      </c>
      <c r="B9" s="20" t="s">
        <v>839</v>
      </c>
      <c r="C9" s="21">
        <v>15</v>
      </c>
      <c r="D9" s="21">
        <v>0</v>
      </c>
      <c r="E9" s="20"/>
      <c r="F9" s="22" t="str">
        <f t="shared" si="0"/>
        <v>/</v>
      </c>
    </row>
    <row r="10" spans="1:6" ht="15.75">
      <c r="A10" s="19" t="s">
        <v>497</v>
      </c>
      <c r="B10" s="20" t="s">
        <v>839</v>
      </c>
      <c r="C10" s="21">
        <v>15</v>
      </c>
      <c r="D10" s="21">
        <v>0</v>
      </c>
      <c r="E10" s="20"/>
      <c r="F10" s="22" t="str">
        <f t="shared" si="0"/>
        <v>/</v>
      </c>
    </row>
    <row r="11" spans="1:6" ht="15.75">
      <c r="A11" s="19" t="s">
        <v>498</v>
      </c>
      <c r="B11" s="20" t="s">
        <v>839</v>
      </c>
      <c r="C11" s="21">
        <v>15</v>
      </c>
      <c r="D11" s="21">
        <v>0</v>
      </c>
      <c r="E11" s="20"/>
      <c r="F11" s="22" t="str">
        <f t="shared" si="0"/>
        <v>/</v>
      </c>
    </row>
    <row r="12" spans="1:6" ht="15.75">
      <c r="A12" s="19" t="s">
        <v>433</v>
      </c>
      <c r="B12" s="20" t="s">
        <v>839</v>
      </c>
      <c r="C12" s="21">
        <v>15</v>
      </c>
      <c r="D12" s="21">
        <v>0</v>
      </c>
      <c r="E12" s="20"/>
      <c r="F12" s="22" t="str">
        <f t="shared" si="0"/>
        <v>/</v>
      </c>
    </row>
    <row r="13" spans="1:6" ht="15.75">
      <c r="A13" s="19" t="s">
        <v>503</v>
      </c>
      <c r="B13" s="20" t="s">
        <v>839</v>
      </c>
      <c r="C13" s="21">
        <v>15</v>
      </c>
      <c r="D13" s="21">
        <v>0</v>
      </c>
      <c r="E13" s="20"/>
      <c r="F13" s="22" t="str">
        <f t="shared" si="0"/>
        <v>/</v>
      </c>
    </row>
    <row r="14" spans="1:6" ht="15.75">
      <c r="A14" s="19" t="s">
        <v>119</v>
      </c>
      <c r="B14" s="20" t="s">
        <v>839</v>
      </c>
      <c r="C14" s="21">
        <v>15</v>
      </c>
      <c r="D14" s="21">
        <v>0</v>
      </c>
      <c r="E14" s="20"/>
      <c r="F14" s="22" t="str">
        <f t="shared" si="0"/>
        <v>/</v>
      </c>
    </row>
    <row r="15" spans="1:6" ht="15.75">
      <c r="A15" s="19" t="s">
        <v>351</v>
      </c>
      <c r="B15" s="20" t="s">
        <v>839</v>
      </c>
      <c r="C15" s="21">
        <v>15</v>
      </c>
      <c r="D15" s="21">
        <v>0</v>
      </c>
      <c r="E15" s="20"/>
      <c r="F15"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1.xml><?xml version="1.0" encoding="utf-8"?>
<worksheet xmlns="http://schemas.openxmlformats.org/spreadsheetml/2006/main" xmlns:r="http://schemas.openxmlformats.org/officeDocument/2006/relationships">
  <dimension ref="A1:F10"/>
  <sheetViews>
    <sheetView workbookViewId="0" topLeftCell="A1">
      <selection activeCell="B5" sqref="B5"/>
    </sheetView>
  </sheetViews>
  <sheetFormatPr defaultColWidth="9.140625" defaultRowHeight="12.75"/>
  <cols>
    <col min="6" max="6" width="30.421875" style="0" customWidth="1"/>
  </cols>
  <sheetData>
    <row r="1" spans="1:6" ht="12.75">
      <c r="A1" s="135" t="s">
        <v>831</v>
      </c>
      <c r="B1" s="136"/>
      <c r="C1" s="137" t="s">
        <v>832</v>
      </c>
      <c r="D1" s="138"/>
      <c r="E1" s="139"/>
      <c r="F1" s="16" t="e">
        <f>VLOOKUP("SAP Equipment # (if known)",CA_4304,2,FALSE)</f>
        <v>#NAME?</v>
      </c>
    </row>
    <row r="2" spans="1:6" ht="12.75">
      <c r="A2" s="137" t="s">
        <v>833</v>
      </c>
      <c r="B2" s="138"/>
      <c r="C2" s="138"/>
      <c r="D2" s="138"/>
      <c r="E2" s="139"/>
      <c r="F2" s="16"/>
    </row>
    <row r="3" spans="1:6" ht="25.5">
      <c r="A3" s="17" t="s">
        <v>834</v>
      </c>
      <c r="B3" s="18" t="s">
        <v>835</v>
      </c>
      <c r="C3" s="18" t="s">
        <v>836</v>
      </c>
      <c r="D3" s="18" t="s">
        <v>837</v>
      </c>
      <c r="E3" s="18" t="s">
        <v>838</v>
      </c>
      <c r="F3" s="16"/>
    </row>
    <row r="4" spans="1:6" ht="15.75">
      <c r="A4" s="19" t="s">
        <v>19</v>
      </c>
      <c r="B4" s="20" t="s">
        <v>839</v>
      </c>
      <c r="C4" s="21">
        <v>15</v>
      </c>
      <c r="D4" s="21">
        <v>0</v>
      </c>
      <c r="E4" s="20"/>
      <c r="F4" s="22" t="e">
        <f aca="true" t="shared" si="0" ref="F4:F10">VLOOKUP(A4,CA_4304,2,FALSE)</f>
        <v>#NAME?</v>
      </c>
    </row>
    <row r="5" spans="1:6" ht="15.75">
      <c r="A5" s="5" t="s">
        <v>445</v>
      </c>
      <c r="B5" s="20" t="s">
        <v>839</v>
      </c>
      <c r="C5" s="21">
        <v>15</v>
      </c>
      <c r="D5" s="21">
        <v>0</v>
      </c>
      <c r="E5" s="20"/>
      <c r="F5" s="22" t="e">
        <f t="shared" si="0"/>
        <v>#NAME?</v>
      </c>
    </row>
    <row r="6" spans="1:6" ht="15.75">
      <c r="A6" s="5" t="s">
        <v>119</v>
      </c>
      <c r="B6" s="20" t="s">
        <v>839</v>
      </c>
      <c r="C6" s="21">
        <v>15</v>
      </c>
      <c r="D6" s="21">
        <v>0</v>
      </c>
      <c r="E6" s="20"/>
      <c r="F6" s="22" t="e">
        <f t="shared" si="0"/>
        <v>#NAME?</v>
      </c>
    </row>
    <row r="7" spans="1:6" ht="15.75">
      <c r="A7" s="5" t="s">
        <v>489</v>
      </c>
      <c r="B7" s="20" t="s">
        <v>839</v>
      </c>
      <c r="C7" s="21">
        <v>15</v>
      </c>
      <c r="D7" s="21">
        <v>0</v>
      </c>
      <c r="E7" s="20"/>
      <c r="F7" s="22" t="e">
        <f t="shared" si="0"/>
        <v>#NAME?</v>
      </c>
    </row>
    <row r="8" spans="1:6" ht="15.75">
      <c r="A8" s="5" t="s">
        <v>490</v>
      </c>
      <c r="B8" s="20" t="s">
        <v>839</v>
      </c>
      <c r="C8" s="21">
        <v>15</v>
      </c>
      <c r="D8" s="21">
        <v>0</v>
      </c>
      <c r="E8" s="20"/>
      <c r="F8" s="22" t="e">
        <f t="shared" si="0"/>
        <v>#NAME?</v>
      </c>
    </row>
    <row r="9" spans="1:6" ht="15.75">
      <c r="A9" s="5" t="s">
        <v>382</v>
      </c>
      <c r="B9" s="20" t="s">
        <v>839</v>
      </c>
      <c r="C9" s="21">
        <v>15</v>
      </c>
      <c r="D9" s="21">
        <v>0</v>
      </c>
      <c r="E9" s="20"/>
      <c r="F9" s="22" t="e">
        <f t="shared" si="0"/>
        <v>#NAME?</v>
      </c>
    </row>
    <row r="10" spans="1:6" ht="15.75">
      <c r="A10" s="5" t="s">
        <v>381</v>
      </c>
      <c r="B10" s="20" t="s">
        <v>839</v>
      </c>
      <c r="C10" s="21">
        <v>15</v>
      </c>
      <c r="D10" s="21">
        <v>0</v>
      </c>
      <c r="E10" s="20"/>
      <c r="F10" s="22" t="e">
        <f t="shared" si="0"/>
        <v>#NAME?</v>
      </c>
    </row>
  </sheetData>
  <mergeCells count="3">
    <mergeCell ref="A1:B1"/>
    <mergeCell ref="C1:E1"/>
    <mergeCell ref="A2:E2"/>
  </mergeCells>
  <printOptions/>
  <pageMargins left="0.75" right="0.75" top="1" bottom="1" header="0.5" footer="0.5"/>
  <pageSetup orientation="portrait" paperSize="9"/>
</worksheet>
</file>

<file path=xl/worksheets/sheet72.xml><?xml version="1.0" encoding="utf-8"?>
<worksheet xmlns="http://schemas.openxmlformats.org/spreadsheetml/2006/main" xmlns:r="http://schemas.openxmlformats.org/officeDocument/2006/relationships">
  <dimension ref="A1:F19"/>
  <sheetViews>
    <sheetView workbookViewId="0" topLeftCell="A1">
      <selection activeCell="A1" sqref="A1:B1"/>
    </sheetView>
  </sheetViews>
  <sheetFormatPr defaultColWidth="9.140625" defaultRowHeight="12.75"/>
  <cols>
    <col min="6" max="6" width="25.421875" style="0" customWidth="1"/>
  </cols>
  <sheetData>
    <row r="1" spans="1:6" ht="12.75">
      <c r="A1" s="135" t="s">
        <v>831</v>
      </c>
      <c r="B1" s="136"/>
      <c r="C1" s="137" t="s">
        <v>832</v>
      </c>
      <c r="D1" s="138"/>
      <c r="E1" s="139"/>
      <c r="F1" s="16">
        <f>VLOOKUP("SAP Equipment # (if known)",CA_4305,2,FALSE)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19" t="s">
        <v>514</v>
      </c>
      <c r="B4" s="20" t="s">
        <v>839</v>
      </c>
      <c r="C4" s="21">
        <v>15</v>
      </c>
      <c r="D4" s="21">
        <v>0</v>
      </c>
      <c r="E4" s="20"/>
      <c r="F4" s="22" t="str">
        <f aca="true" t="shared" si="0" ref="F4:F19">VLOOKUP(A4,CA_4305,2,FALSE)</f>
        <v>/</v>
      </c>
    </row>
    <row r="5" spans="1:6" ht="15.75">
      <c r="A5" s="5" t="s">
        <v>516</v>
      </c>
      <c r="B5" s="20" t="s">
        <v>839</v>
      </c>
      <c r="C5" s="21">
        <v>15</v>
      </c>
      <c r="D5" s="21">
        <v>0</v>
      </c>
      <c r="E5" s="20"/>
      <c r="F5" s="22" t="str">
        <f t="shared" si="0"/>
        <v>/</v>
      </c>
    </row>
    <row r="6" spans="1:6" ht="15.75">
      <c r="A6" s="5" t="s">
        <v>517</v>
      </c>
      <c r="B6" s="20" t="s">
        <v>839</v>
      </c>
      <c r="C6" s="21">
        <v>15</v>
      </c>
      <c r="D6" s="21">
        <v>0</v>
      </c>
      <c r="E6" s="20"/>
      <c r="F6" s="22" t="str">
        <f t="shared" si="0"/>
        <v>/</v>
      </c>
    </row>
    <row r="7" spans="1:6" ht="15.75">
      <c r="A7" s="5" t="s">
        <v>518</v>
      </c>
      <c r="B7" s="20" t="s">
        <v>839</v>
      </c>
      <c r="C7" s="21">
        <v>15</v>
      </c>
      <c r="D7" s="21">
        <v>0</v>
      </c>
      <c r="E7" s="20"/>
      <c r="F7" s="22" t="str">
        <f t="shared" si="0"/>
        <v>/</v>
      </c>
    </row>
    <row r="8" spans="1:6" ht="15.75">
      <c r="A8" s="5" t="s">
        <v>519</v>
      </c>
      <c r="B8" s="20" t="s">
        <v>839</v>
      </c>
      <c r="C8" s="21">
        <v>15</v>
      </c>
      <c r="D8" s="21">
        <v>0</v>
      </c>
      <c r="E8" s="20"/>
      <c r="F8" s="22" t="str">
        <f t="shared" si="0"/>
        <v>/</v>
      </c>
    </row>
    <row r="9" spans="1:6" ht="15.75">
      <c r="A9" s="5" t="s">
        <v>520</v>
      </c>
      <c r="B9" s="20" t="s">
        <v>839</v>
      </c>
      <c r="C9" s="21">
        <v>15</v>
      </c>
      <c r="D9" s="21">
        <v>0</v>
      </c>
      <c r="E9" s="20"/>
      <c r="F9" s="22" t="str">
        <f t="shared" si="0"/>
        <v>/</v>
      </c>
    </row>
    <row r="10" spans="1:6" ht="15.75">
      <c r="A10" s="19" t="s">
        <v>521</v>
      </c>
      <c r="B10" s="20" t="s">
        <v>839</v>
      </c>
      <c r="C10" s="21">
        <v>15</v>
      </c>
      <c r="D10" s="21">
        <v>0</v>
      </c>
      <c r="E10" s="20"/>
      <c r="F10" s="22" t="str">
        <f t="shared" si="0"/>
        <v>/</v>
      </c>
    </row>
    <row r="11" spans="1:6" ht="15.75">
      <c r="A11" s="5" t="s">
        <v>119</v>
      </c>
      <c r="B11" s="20" t="s">
        <v>839</v>
      </c>
      <c r="C11" s="21">
        <v>15</v>
      </c>
      <c r="D11" s="21">
        <v>0</v>
      </c>
      <c r="E11" s="20"/>
      <c r="F11" s="22" t="str">
        <f t="shared" si="0"/>
        <v>/</v>
      </c>
    </row>
    <row r="12" spans="1:6" ht="15.75">
      <c r="A12" s="5" t="s">
        <v>522</v>
      </c>
      <c r="B12" s="20" t="s">
        <v>839</v>
      </c>
      <c r="C12" s="21">
        <v>15</v>
      </c>
      <c r="D12" s="21">
        <v>0</v>
      </c>
      <c r="E12" s="20"/>
      <c r="F12" s="22" t="str">
        <f t="shared" si="0"/>
        <v>/</v>
      </c>
    </row>
    <row r="13" spans="1:6" ht="15.75">
      <c r="A13" s="5" t="s">
        <v>515</v>
      </c>
      <c r="B13" s="20" t="s">
        <v>839</v>
      </c>
      <c r="C13" s="21">
        <v>15</v>
      </c>
      <c r="D13" s="21">
        <v>0</v>
      </c>
      <c r="E13" s="20"/>
      <c r="F13" s="22" t="str">
        <f t="shared" si="0"/>
        <v>/</v>
      </c>
    </row>
    <row r="14" spans="1:6" ht="15.75">
      <c r="A14" s="5" t="s">
        <v>523</v>
      </c>
      <c r="B14" s="20" t="s">
        <v>839</v>
      </c>
      <c r="C14" s="21">
        <v>15</v>
      </c>
      <c r="D14" s="21">
        <v>0</v>
      </c>
      <c r="E14" s="20"/>
      <c r="F14" s="22" t="str">
        <f t="shared" si="0"/>
        <v>/</v>
      </c>
    </row>
    <row r="15" spans="1:6" ht="15.75">
      <c r="A15" s="5" t="s">
        <v>524</v>
      </c>
      <c r="B15" s="20" t="s">
        <v>839</v>
      </c>
      <c r="C15" s="21">
        <v>15</v>
      </c>
      <c r="D15" s="21">
        <v>0</v>
      </c>
      <c r="E15" s="20"/>
      <c r="F15" s="22" t="str">
        <f t="shared" si="0"/>
        <v>/</v>
      </c>
    </row>
    <row r="16" spans="1:6" ht="15.75">
      <c r="A16" s="5" t="s">
        <v>525</v>
      </c>
      <c r="B16" s="20" t="s">
        <v>839</v>
      </c>
      <c r="C16" s="21">
        <v>15</v>
      </c>
      <c r="D16" s="21">
        <v>0</v>
      </c>
      <c r="E16" s="20"/>
      <c r="F16" s="22" t="str">
        <f t="shared" si="0"/>
        <v>/</v>
      </c>
    </row>
    <row r="17" spans="1:6" ht="15.75">
      <c r="A17" s="19" t="s">
        <v>526</v>
      </c>
      <c r="B17" s="20" t="s">
        <v>839</v>
      </c>
      <c r="C17" s="21">
        <v>15</v>
      </c>
      <c r="D17" s="21">
        <v>0</v>
      </c>
      <c r="E17" s="20"/>
      <c r="F17" s="22" t="str">
        <f t="shared" si="0"/>
        <v>/</v>
      </c>
    </row>
    <row r="18" spans="1:6" ht="15.75">
      <c r="A18" s="5" t="s">
        <v>527</v>
      </c>
      <c r="B18" s="20" t="s">
        <v>839</v>
      </c>
      <c r="C18" s="21">
        <v>15</v>
      </c>
      <c r="D18" s="21">
        <v>0</v>
      </c>
      <c r="E18" s="20"/>
      <c r="F18" s="22" t="str">
        <f t="shared" si="0"/>
        <v>/</v>
      </c>
    </row>
    <row r="19" spans="1:6" ht="15.75">
      <c r="A19" s="5" t="s">
        <v>528</v>
      </c>
      <c r="B19" s="20" t="s">
        <v>839</v>
      </c>
      <c r="C19" s="21">
        <v>15</v>
      </c>
      <c r="D19" s="21">
        <v>0</v>
      </c>
      <c r="E19" s="20"/>
      <c r="F19"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3.xml><?xml version="1.0" encoding="utf-8"?>
<worksheet xmlns="http://schemas.openxmlformats.org/spreadsheetml/2006/main" xmlns:r="http://schemas.openxmlformats.org/officeDocument/2006/relationships">
  <dimension ref="A1:F22"/>
  <sheetViews>
    <sheetView workbookViewId="0" topLeftCell="A1">
      <selection activeCell="B5" sqref="B5"/>
    </sheetView>
  </sheetViews>
  <sheetFormatPr defaultColWidth="9.140625" defaultRowHeight="12.75"/>
  <cols>
    <col min="6" max="6" width="22.00390625" style="0" customWidth="1"/>
  </cols>
  <sheetData>
    <row r="1" spans="1:6" ht="12.75">
      <c r="A1" s="135" t="s">
        <v>831</v>
      </c>
      <c r="B1" s="136"/>
      <c r="C1" s="137" t="s">
        <v>832</v>
      </c>
      <c r="D1" s="138"/>
      <c r="E1" s="139"/>
      <c r="F1" s="16">
        <f>VLOOKUP("SAP Equipment # (if known)",CA_4316,2,FALSE)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5" t="s">
        <v>438</v>
      </c>
      <c r="B4" s="20" t="s">
        <v>839</v>
      </c>
      <c r="C4" s="21">
        <v>15</v>
      </c>
      <c r="D4" s="21">
        <v>0</v>
      </c>
      <c r="E4" s="20"/>
      <c r="F4" s="22" t="str">
        <f aca="true" t="shared" si="0" ref="F4:F22">VLOOKUP(A4,CA_4316,2,FALSE)</f>
        <v>/</v>
      </c>
    </row>
    <row r="5" spans="1:6" ht="15.75">
      <c r="A5" s="5" t="s">
        <v>424</v>
      </c>
      <c r="B5" s="20" t="s">
        <v>839</v>
      </c>
      <c r="C5" s="21">
        <v>15</v>
      </c>
      <c r="D5" s="21">
        <v>0</v>
      </c>
      <c r="E5" s="20"/>
      <c r="F5" s="22" t="str">
        <f t="shared" si="0"/>
        <v>/</v>
      </c>
    </row>
    <row r="6" spans="1:6" ht="15.75">
      <c r="A6" s="5" t="s">
        <v>439</v>
      </c>
      <c r="B6" s="20" t="s">
        <v>839</v>
      </c>
      <c r="C6" s="21">
        <v>15</v>
      </c>
      <c r="D6" s="21">
        <v>0</v>
      </c>
      <c r="E6" s="20"/>
      <c r="F6" s="22" t="str">
        <f t="shared" si="0"/>
        <v>/</v>
      </c>
    </row>
    <row r="7" spans="1:6" ht="15.75">
      <c r="A7" s="5" t="s">
        <v>440</v>
      </c>
      <c r="B7" s="20" t="s">
        <v>839</v>
      </c>
      <c r="C7" s="21">
        <v>15</v>
      </c>
      <c r="D7" s="21">
        <v>0</v>
      </c>
      <c r="E7" s="20"/>
      <c r="F7" s="22" t="str">
        <f t="shared" si="0"/>
        <v>/</v>
      </c>
    </row>
    <row r="8" spans="1:6" ht="15.75">
      <c r="A8" s="5" t="s">
        <v>441</v>
      </c>
      <c r="B8" s="20" t="s">
        <v>839</v>
      </c>
      <c r="C8" s="21">
        <v>15</v>
      </c>
      <c r="D8" s="21">
        <v>0</v>
      </c>
      <c r="E8" s="20"/>
      <c r="F8" s="22" t="str">
        <f t="shared" si="0"/>
        <v>/</v>
      </c>
    </row>
    <row r="9" spans="1:6" ht="15.75">
      <c r="A9" s="5" t="s">
        <v>442</v>
      </c>
      <c r="B9" s="20" t="s">
        <v>839</v>
      </c>
      <c r="C9" s="21">
        <v>15</v>
      </c>
      <c r="D9" s="21">
        <v>0</v>
      </c>
      <c r="E9" s="20"/>
      <c r="F9" s="22" t="str">
        <f t="shared" si="0"/>
        <v>/</v>
      </c>
    </row>
    <row r="10" spans="1:6" ht="15.75">
      <c r="A10" s="5" t="s">
        <v>443</v>
      </c>
      <c r="B10" s="20" t="s">
        <v>839</v>
      </c>
      <c r="C10" s="21">
        <v>15</v>
      </c>
      <c r="D10" s="21">
        <v>0</v>
      </c>
      <c r="E10" s="20"/>
      <c r="F10" s="22" t="str">
        <f t="shared" si="0"/>
        <v>/</v>
      </c>
    </row>
    <row r="11" spans="1:6" ht="15.75">
      <c r="A11" s="5" t="s">
        <v>444</v>
      </c>
      <c r="B11" s="20" t="s">
        <v>839</v>
      </c>
      <c r="C11" s="21">
        <v>15</v>
      </c>
      <c r="D11" s="21">
        <v>0</v>
      </c>
      <c r="E11" s="20"/>
      <c r="F11" s="22" t="str">
        <f t="shared" si="0"/>
        <v>/</v>
      </c>
    </row>
    <row r="12" spans="1:6" ht="15.75">
      <c r="A12" s="5" t="s">
        <v>445</v>
      </c>
      <c r="B12" s="20" t="s">
        <v>839</v>
      </c>
      <c r="C12" s="21">
        <v>15</v>
      </c>
      <c r="D12" s="21">
        <v>0</v>
      </c>
      <c r="E12" s="20"/>
      <c r="F12" s="22" t="str">
        <f t="shared" si="0"/>
        <v>/</v>
      </c>
    </row>
    <row r="13" spans="1:6" ht="15.75">
      <c r="A13" s="5" t="s">
        <v>446</v>
      </c>
      <c r="B13" s="20" t="s">
        <v>839</v>
      </c>
      <c r="C13" s="21">
        <v>15</v>
      </c>
      <c r="D13" s="21">
        <v>0</v>
      </c>
      <c r="E13" s="20"/>
      <c r="F13" s="22" t="str">
        <f t="shared" si="0"/>
        <v>/</v>
      </c>
    </row>
    <row r="14" spans="1:6" ht="15.75">
      <c r="A14" s="5" t="s">
        <v>447</v>
      </c>
      <c r="B14" s="20" t="s">
        <v>839</v>
      </c>
      <c r="C14" s="21">
        <v>15</v>
      </c>
      <c r="D14" s="21">
        <v>0</v>
      </c>
      <c r="E14" s="20"/>
      <c r="F14" s="22" t="str">
        <f t="shared" si="0"/>
        <v>/</v>
      </c>
    </row>
    <row r="15" spans="1:6" ht="15.75">
      <c r="A15" s="5" t="s">
        <v>119</v>
      </c>
      <c r="B15" s="20" t="s">
        <v>839</v>
      </c>
      <c r="C15" s="21">
        <v>15</v>
      </c>
      <c r="D15" s="21">
        <v>0</v>
      </c>
      <c r="E15" s="20"/>
      <c r="F15" s="22" t="str">
        <f t="shared" si="0"/>
        <v>/</v>
      </c>
    </row>
    <row r="16" spans="1:6" ht="15.75">
      <c r="A16" s="5" t="s">
        <v>448</v>
      </c>
      <c r="B16" s="20" t="s">
        <v>839</v>
      </c>
      <c r="C16" s="21">
        <v>15</v>
      </c>
      <c r="D16" s="21">
        <v>0</v>
      </c>
      <c r="E16" s="20"/>
      <c r="F16" s="22" t="str">
        <f t="shared" si="0"/>
        <v>/</v>
      </c>
    </row>
    <row r="17" spans="1:6" ht="15.75">
      <c r="A17" s="5" t="s">
        <v>382</v>
      </c>
      <c r="B17" s="20" t="s">
        <v>839</v>
      </c>
      <c r="C17" s="21">
        <v>15</v>
      </c>
      <c r="D17" s="21">
        <v>0</v>
      </c>
      <c r="E17" s="20"/>
      <c r="F17" s="22" t="str">
        <f t="shared" si="0"/>
        <v>/</v>
      </c>
    </row>
    <row r="18" spans="1:6" ht="15.75">
      <c r="A18" s="5" t="s">
        <v>449</v>
      </c>
      <c r="B18" s="20" t="s">
        <v>839</v>
      </c>
      <c r="C18" s="21">
        <v>15</v>
      </c>
      <c r="D18" s="21">
        <v>0</v>
      </c>
      <c r="E18" s="20"/>
      <c r="F18" s="22" t="str">
        <f t="shared" si="0"/>
        <v>/</v>
      </c>
    </row>
    <row r="19" spans="1:6" ht="15.75">
      <c r="A19" s="5" t="s">
        <v>450</v>
      </c>
      <c r="B19" s="20" t="s">
        <v>839</v>
      </c>
      <c r="C19" s="21">
        <v>15</v>
      </c>
      <c r="D19" s="21">
        <v>0</v>
      </c>
      <c r="E19" s="20"/>
      <c r="F19" s="22" t="str">
        <f t="shared" si="0"/>
        <v>/</v>
      </c>
    </row>
    <row r="20" spans="1:6" ht="15.75">
      <c r="A20" s="5" t="s">
        <v>451</v>
      </c>
      <c r="B20" s="20" t="s">
        <v>839</v>
      </c>
      <c r="C20" s="21">
        <v>15</v>
      </c>
      <c r="D20" s="21">
        <v>0</v>
      </c>
      <c r="E20" s="20"/>
      <c r="F20" s="22" t="str">
        <f t="shared" si="0"/>
        <v>/</v>
      </c>
    </row>
    <row r="21" spans="1:6" ht="15.75">
      <c r="A21" s="5" t="s">
        <v>452</v>
      </c>
      <c r="B21" s="20" t="s">
        <v>839</v>
      </c>
      <c r="C21" s="21">
        <v>15</v>
      </c>
      <c r="D21" s="21">
        <v>0</v>
      </c>
      <c r="E21" s="20"/>
      <c r="F21" s="22" t="str">
        <f t="shared" si="0"/>
        <v>/</v>
      </c>
    </row>
    <row r="22" spans="1:6" ht="15.75">
      <c r="A22" s="5" t="s">
        <v>453</v>
      </c>
      <c r="B22" s="20" t="s">
        <v>839</v>
      </c>
      <c r="C22" s="21">
        <v>15</v>
      </c>
      <c r="D22" s="21">
        <v>0</v>
      </c>
      <c r="E22" s="20"/>
      <c r="F22"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4.xml><?xml version="1.0" encoding="utf-8"?>
<worksheet xmlns="http://schemas.openxmlformats.org/spreadsheetml/2006/main" xmlns:r="http://schemas.openxmlformats.org/officeDocument/2006/relationships">
  <dimension ref="A1:K22"/>
  <sheetViews>
    <sheetView workbookViewId="0" topLeftCell="E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11" width="24.57421875" style="0" customWidth="1"/>
  </cols>
  <sheetData>
    <row r="1" spans="1:11" s="16" customFormat="1" ht="12.75">
      <c r="A1" s="135" t="s">
        <v>831</v>
      </c>
      <c r="B1" s="136"/>
      <c r="C1" s="137" t="s">
        <v>832</v>
      </c>
      <c r="D1" s="138"/>
      <c r="E1" s="139"/>
      <c r="F1" s="16">
        <f>VLOOKUP("SAP Equipment # (if known)",CA_6803,2,FALSE)</f>
        <v>10721096</v>
      </c>
      <c r="G1" s="16">
        <f>VLOOKUP("SAP Equipment # (if known)",CA_6803,3,FALSE)</f>
        <v>10777315</v>
      </c>
      <c r="H1" s="16">
        <f>VLOOKUP("SAP Equipment # (if known)",CA_6803,4,FALSE)</f>
        <v>0</v>
      </c>
      <c r="I1" s="16">
        <f>VLOOKUP("SAP Equipment # (if known)",CA_6803,5,FALSE)</f>
        <v>0</v>
      </c>
      <c r="J1" s="16">
        <f>VLOOKUP("SAP Equipment # (if known)",CA_6803,6,FALSE)</f>
        <v>0</v>
      </c>
      <c r="K1" s="16">
        <f>VLOOKUP("SAP Equipment # (if known)",CA_6803,7,FALSE)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11" ht="15.75">
      <c r="A4" s="19" t="s">
        <v>19</v>
      </c>
      <c r="B4" s="20" t="s">
        <v>839</v>
      </c>
      <c r="C4" s="21">
        <v>15</v>
      </c>
      <c r="D4" s="21">
        <v>0</v>
      </c>
      <c r="E4" s="20"/>
      <c r="F4" s="22" t="str">
        <f aca="true" t="shared" si="0" ref="F4:F22">VLOOKUP($A4,CA_6803,2,FALSE)</f>
        <v>Controllable Asset</v>
      </c>
      <c r="G4" s="22" t="str">
        <f aca="true" t="shared" si="1" ref="G4:G22">VLOOKUP($A4,CA_6803,3,FALSE)</f>
        <v>Controllable Asset</v>
      </c>
      <c r="H4" s="22" t="str">
        <f aca="true" t="shared" si="2" ref="H4:H22">VLOOKUP($A4,CA_6803,4,FALSE)</f>
        <v>/</v>
      </c>
      <c r="I4" s="22" t="str">
        <f aca="true" t="shared" si="3" ref="I4:I22">VLOOKUP($A4,CA_6803,5,FALSE)</f>
        <v>/</v>
      </c>
      <c r="J4" s="22" t="str">
        <f aca="true" t="shared" si="4" ref="J4:J22">VLOOKUP($A4,CA_6803,6,FALSE)</f>
        <v>/</v>
      </c>
      <c r="K4" s="22" t="str">
        <f aca="true" t="shared" si="5" ref="K4:K22">VLOOKUP($A4,CA_6803,7,FALSE)</f>
        <v>/</v>
      </c>
    </row>
    <row r="5" spans="1:11" ht="15.75">
      <c r="A5" s="19" t="s">
        <v>420</v>
      </c>
      <c r="B5" s="20" t="s">
        <v>839</v>
      </c>
      <c r="C5" s="21">
        <v>15</v>
      </c>
      <c r="D5" s="21">
        <v>0</v>
      </c>
      <c r="E5" s="20"/>
      <c r="F5" s="22" t="str">
        <f t="shared" si="0"/>
        <v>/</v>
      </c>
      <c r="G5" s="22" t="str">
        <f t="shared" si="1"/>
        <v>/</v>
      </c>
      <c r="H5" s="22" t="str">
        <f t="shared" si="2"/>
        <v>/</v>
      </c>
      <c r="I5" s="22" t="str">
        <f t="shared" si="3"/>
        <v>/</v>
      </c>
      <c r="J5" s="22" t="str">
        <f t="shared" si="4"/>
        <v>/</v>
      </c>
      <c r="K5" s="22" t="str">
        <f t="shared" si="5"/>
        <v>/</v>
      </c>
    </row>
    <row r="6" spans="1:11" ht="15.75">
      <c r="A6" s="19" t="s">
        <v>421</v>
      </c>
      <c r="B6" s="20" t="s">
        <v>839</v>
      </c>
      <c r="C6" s="21">
        <v>15</v>
      </c>
      <c r="D6" s="21">
        <v>0</v>
      </c>
      <c r="E6" s="20"/>
      <c r="F6" s="22" t="str">
        <f t="shared" si="0"/>
        <v>/</v>
      </c>
      <c r="G6" s="22" t="str">
        <f t="shared" si="1"/>
        <v>/</v>
      </c>
      <c r="H6" s="22" t="str">
        <f t="shared" si="2"/>
        <v>/</v>
      </c>
      <c r="I6" s="22" t="str">
        <f t="shared" si="3"/>
        <v>/</v>
      </c>
      <c r="J6" s="22" t="str">
        <f t="shared" si="4"/>
        <v>/</v>
      </c>
      <c r="K6" s="22" t="str">
        <f t="shared" si="5"/>
        <v>/</v>
      </c>
    </row>
    <row r="7" spans="1:11" ht="15.75">
      <c r="A7" s="19" t="s">
        <v>424</v>
      </c>
      <c r="B7" s="20" t="s">
        <v>839</v>
      </c>
      <c r="C7" s="21">
        <v>15</v>
      </c>
      <c r="D7" s="21">
        <v>0</v>
      </c>
      <c r="E7" s="20"/>
      <c r="F7" s="22" t="str">
        <f t="shared" si="0"/>
        <v>/</v>
      </c>
      <c r="G7" s="22" t="str">
        <f t="shared" si="1"/>
        <v>/</v>
      </c>
      <c r="H7" s="22" t="str">
        <f t="shared" si="2"/>
        <v>/</v>
      </c>
      <c r="I7" s="22" t="str">
        <f t="shared" si="3"/>
        <v>/</v>
      </c>
      <c r="J7" s="22" t="str">
        <f t="shared" si="4"/>
        <v>/</v>
      </c>
      <c r="K7" s="22" t="str">
        <f t="shared" si="5"/>
        <v>/</v>
      </c>
    </row>
    <row r="8" spans="1:11" ht="15.75">
      <c r="A8" s="19" t="s">
        <v>474</v>
      </c>
      <c r="B8" s="20" t="s">
        <v>839</v>
      </c>
      <c r="C8" s="21">
        <v>15</v>
      </c>
      <c r="D8" s="21">
        <v>0</v>
      </c>
      <c r="E8" s="20"/>
      <c r="F8" s="22" t="str">
        <f t="shared" si="0"/>
        <v>/</v>
      </c>
      <c r="G8" s="22" t="str">
        <f t="shared" si="1"/>
        <v>/</v>
      </c>
      <c r="H8" s="22" t="str">
        <f t="shared" si="2"/>
        <v>/</v>
      </c>
      <c r="I8" s="22" t="str">
        <f t="shared" si="3"/>
        <v>/</v>
      </c>
      <c r="J8" s="22" t="str">
        <f t="shared" si="4"/>
        <v>/</v>
      </c>
      <c r="K8" s="22" t="str">
        <f t="shared" si="5"/>
        <v>/</v>
      </c>
    </row>
    <row r="9" spans="1:11" ht="15.75">
      <c r="A9" s="19" t="s">
        <v>473</v>
      </c>
      <c r="B9" s="20" t="s">
        <v>839</v>
      </c>
      <c r="C9" s="21">
        <v>15</v>
      </c>
      <c r="D9" s="21">
        <v>0</v>
      </c>
      <c r="E9" s="20"/>
      <c r="F9" s="22" t="str">
        <f t="shared" si="0"/>
        <v>/</v>
      </c>
      <c r="G9" s="22" t="str">
        <f t="shared" si="1"/>
        <v>/</v>
      </c>
      <c r="H9" s="22" t="str">
        <f t="shared" si="2"/>
        <v>/</v>
      </c>
      <c r="I9" s="22" t="str">
        <f t="shared" si="3"/>
        <v>/</v>
      </c>
      <c r="J9" s="22" t="str">
        <f t="shared" si="4"/>
        <v>/</v>
      </c>
      <c r="K9" s="22" t="str">
        <f t="shared" si="5"/>
        <v>/</v>
      </c>
    </row>
    <row r="10" spans="1:11" ht="15.75">
      <c r="A10" s="19" t="s">
        <v>475</v>
      </c>
      <c r="B10" s="20" t="s">
        <v>839</v>
      </c>
      <c r="C10" s="21">
        <v>15</v>
      </c>
      <c r="D10" s="21">
        <v>0</v>
      </c>
      <c r="E10" s="20"/>
      <c r="F10" s="22" t="str">
        <f t="shared" si="0"/>
        <v>/</v>
      </c>
      <c r="G10" s="22" t="str">
        <f t="shared" si="1"/>
        <v>/</v>
      </c>
      <c r="H10" s="22" t="str">
        <f t="shared" si="2"/>
        <v>/</v>
      </c>
      <c r="I10" s="22" t="str">
        <f t="shared" si="3"/>
        <v>/</v>
      </c>
      <c r="J10" s="22" t="str">
        <f t="shared" si="4"/>
        <v>/</v>
      </c>
      <c r="K10" s="22" t="str">
        <f t="shared" si="5"/>
        <v>/</v>
      </c>
    </row>
    <row r="11" spans="1:11" ht="15.75">
      <c r="A11" s="19" t="s">
        <v>493</v>
      </c>
      <c r="B11" s="20" t="s">
        <v>839</v>
      </c>
      <c r="C11" s="21">
        <v>15</v>
      </c>
      <c r="D11" s="21">
        <v>0</v>
      </c>
      <c r="E11" s="20"/>
      <c r="F11" s="22" t="str">
        <f t="shared" si="0"/>
        <v>/</v>
      </c>
      <c r="G11" s="22" t="str">
        <f t="shared" si="1"/>
        <v>/</v>
      </c>
      <c r="H11" s="22" t="str">
        <f t="shared" si="2"/>
        <v>/</v>
      </c>
      <c r="I11" s="22" t="str">
        <f t="shared" si="3"/>
        <v>/</v>
      </c>
      <c r="J11" s="22" t="str">
        <f t="shared" si="4"/>
        <v>/</v>
      </c>
      <c r="K11" s="22" t="str">
        <f t="shared" si="5"/>
        <v>/</v>
      </c>
    </row>
    <row r="12" spans="1:11" ht="15.75">
      <c r="A12" s="19" t="s">
        <v>476</v>
      </c>
      <c r="B12" s="20" t="s">
        <v>839</v>
      </c>
      <c r="C12" s="21">
        <v>15</v>
      </c>
      <c r="D12" s="21">
        <v>0</v>
      </c>
      <c r="E12" s="20"/>
      <c r="F12" s="22">
        <f t="shared" si="0"/>
        <v>1500</v>
      </c>
      <c r="G12" s="22">
        <f t="shared" si="1"/>
        <v>845</v>
      </c>
      <c r="H12" s="22" t="str">
        <f t="shared" si="2"/>
        <v>/</v>
      </c>
      <c r="I12" s="22" t="str">
        <f t="shared" si="3"/>
        <v>/</v>
      </c>
      <c r="J12" s="22" t="str">
        <f t="shared" si="4"/>
        <v>/</v>
      </c>
      <c r="K12" s="22" t="str">
        <f t="shared" si="5"/>
        <v>/</v>
      </c>
    </row>
    <row r="13" spans="1:11" ht="15.75">
      <c r="A13" s="19" t="s">
        <v>477</v>
      </c>
      <c r="B13" s="20" t="s">
        <v>839</v>
      </c>
      <c r="C13" s="21">
        <v>15</v>
      </c>
      <c r="D13" s="21">
        <v>0</v>
      </c>
      <c r="E13" s="20"/>
      <c r="F13" s="22" t="str">
        <f t="shared" si="0"/>
        <v>/</v>
      </c>
      <c r="G13" s="22" t="str">
        <f t="shared" si="1"/>
        <v>/</v>
      </c>
      <c r="H13" s="22" t="str">
        <f t="shared" si="2"/>
        <v>/</v>
      </c>
      <c r="I13" s="22" t="str">
        <f t="shared" si="3"/>
        <v>/</v>
      </c>
      <c r="J13" s="22" t="str">
        <f t="shared" si="4"/>
        <v>/</v>
      </c>
      <c r="K13" s="22" t="str">
        <f t="shared" si="5"/>
        <v>/</v>
      </c>
    </row>
    <row r="14" spans="1:11" ht="15.75">
      <c r="A14" s="19" t="s">
        <v>478</v>
      </c>
      <c r="B14" s="20" t="s">
        <v>839</v>
      </c>
      <c r="C14" s="21">
        <v>15</v>
      </c>
      <c r="D14" s="21">
        <v>0</v>
      </c>
      <c r="E14" s="20"/>
      <c r="F14" s="22">
        <f t="shared" si="0"/>
        <v>15.94</v>
      </c>
      <c r="G14" s="22">
        <f t="shared" si="1"/>
        <v>17.4</v>
      </c>
      <c r="H14" s="22" t="str">
        <f t="shared" si="2"/>
        <v>/</v>
      </c>
      <c r="I14" s="22" t="str">
        <f t="shared" si="3"/>
        <v>/</v>
      </c>
      <c r="J14" s="22" t="str">
        <f t="shared" si="4"/>
        <v>/</v>
      </c>
      <c r="K14" s="22" t="str">
        <f t="shared" si="5"/>
        <v>/</v>
      </c>
    </row>
    <row r="15" spans="1:11" ht="15.75">
      <c r="A15" s="19" t="s">
        <v>479</v>
      </c>
      <c r="B15" s="20" t="s">
        <v>839</v>
      </c>
      <c r="C15" s="21">
        <v>15</v>
      </c>
      <c r="D15" s="21">
        <v>0</v>
      </c>
      <c r="E15" s="20"/>
      <c r="F15" s="22">
        <f t="shared" si="0"/>
        <v>14.07</v>
      </c>
      <c r="G15" s="22">
        <f t="shared" si="1"/>
        <v>16.48</v>
      </c>
      <c r="H15" s="22" t="str">
        <f t="shared" si="2"/>
        <v>/</v>
      </c>
      <c r="I15" s="22" t="str">
        <f t="shared" si="3"/>
        <v>/</v>
      </c>
      <c r="J15" s="22" t="str">
        <f t="shared" si="4"/>
        <v>/</v>
      </c>
      <c r="K15" s="22" t="str">
        <f t="shared" si="5"/>
        <v>/</v>
      </c>
    </row>
    <row r="16" spans="1:11" ht="15.75">
      <c r="A16" s="19" t="s">
        <v>480</v>
      </c>
      <c r="B16" s="20" t="s">
        <v>839</v>
      </c>
      <c r="C16" s="21">
        <v>15</v>
      </c>
      <c r="D16" s="21">
        <v>0</v>
      </c>
      <c r="E16" s="20"/>
      <c r="F16" s="22">
        <f t="shared" si="0"/>
        <v>2</v>
      </c>
      <c r="G16" s="22">
        <f t="shared" si="1"/>
        <v>2</v>
      </c>
      <c r="H16" s="22" t="str">
        <f t="shared" si="2"/>
        <v>/</v>
      </c>
      <c r="I16" s="22" t="str">
        <f t="shared" si="3"/>
        <v>/</v>
      </c>
      <c r="J16" s="22" t="str">
        <f t="shared" si="4"/>
        <v>/</v>
      </c>
      <c r="K16" s="22" t="str">
        <f t="shared" si="5"/>
        <v>/</v>
      </c>
    </row>
    <row r="17" spans="1:11" ht="15.75">
      <c r="A17" s="19" t="s">
        <v>481</v>
      </c>
      <c r="B17" s="20" t="s">
        <v>839</v>
      </c>
      <c r="C17" s="21">
        <v>15</v>
      </c>
      <c r="D17" s="21">
        <v>0</v>
      </c>
      <c r="E17" s="20"/>
      <c r="F17" s="22">
        <f t="shared" si="0"/>
        <v>2</v>
      </c>
      <c r="G17" s="22">
        <f t="shared" si="1"/>
        <v>2</v>
      </c>
      <c r="H17" s="22" t="str">
        <f t="shared" si="2"/>
        <v>/</v>
      </c>
      <c r="I17" s="22" t="str">
        <f t="shared" si="3"/>
        <v>/</v>
      </c>
      <c r="J17" s="22" t="str">
        <f t="shared" si="4"/>
        <v>/</v>
      </c>
      <c r="K17" s="22" t="str">
        <f t="shared" si="5"/>
        <v>/</v>
      </c>
    </row>
    <row r="18" spans="1:11" ht="15.75">
      <c r="A18" s="19" t="s">
        <v>119</v>
      </c>
      <c r="B18" s="20" t="s">
        <v>839</v>
      </c>
      <c r="C18" s="21">
        <v>15</v>
      </c>
      <c r="D18" s="21">
        <v>0</v>
      </c>
      <c r="E18" s="20"/>
      <c r="F18" s="22" t="str">
        <f t="shared" si="0"/>
        <v>Conoco Phillips 100%</v>
      </c>
      <c r="G18" s="22" t="str">
        <f t="shared" si="1"/>
        <v>Conoco Phillips 100%</v>
      </c>
      <c r="H18" s="22" t="str">
        <f t="shared" si="2"/>
        <v>/</v>
      </c>
      <c r="I18" s="22" t="str">
        <f t="shared" si="3"/>
        <v>/</v>
      </c>
      <c r="J18" s="22" t="str">
        <f t="shared" si="4"/>
        <v>/</v>
      </c>
      <c r="K18" s="22" t="str">
        <f t="shared" si="5"/>
        <v>/</v>
      </c>
    </row>
    <row r="19" spans="1:11" ht="15.75">
      <c r="A19" s="19" t="s">
        <v>482</v>
      </c>
      <c r="B19" s="20" t="s">
        <v>839</v>
      </c>
      <c r="C19" s="21">
        <v>15</v>
      </c>
      <c r="D19" s="21">
        <v>0</v>
      </c>
      <c r="E19" s="20"/>
      <c r="F19" s="22" t="str">
        <f t="shared" si="0"/>
        <v>/</v>
      </c>
      <c r="G19" s="22" t="str">
        <f t="shared" si="1"/>
        <v>/</v>
      </c>
      <c r="H19" s="22" t="str">
        <f t="shared" si="2"/>
        <v>/</v>
      </c>
      <c r="I19" s="22" t="str">
        <f t="shared" si="3"/>
        <v>/</v>
      </c>
      <c r="J19" s="22" t="str">
        <f t="shared" si="4"/>
        <v>/</v>
      </c>
      <c r="K19" s="22" t="str">
        <f t="shared" si="5"/>
        <v>/</v>
      </c>
    </row>
    <row r="20" spans="1:11" ht="15.75">
      <c r="A20" s="19" t="s">
        <v>483</v>
      </c>
      <c r="B20" s="20" t="s">
        <v>839</v>
      </c>
      <c r="C20" s="21">
        <v>15</v>
      </c>
      <c r="D20" s="21">
        <v>0</v>
      </c>
      <c r="E20" s="20"/>
      <c r="F20" s="22">
        <f t="shared" si="0"/>
        <v>1</v>
      </c>
      <c r="G20" s="22">
        <f t="shared" si="1"/>
        <v>2</v>
      </c>
      <c r="H20" s="22" t="str">
        <f t="shared" si="2"/>
        <v>/</v>
      </c>
      <c r="I20" s="22" t="str">
        <f t="shared" si="3"/>
        <v>/</v>
      </c>
      <c r="J20" s="22" t="str">
        <f t="shared" si="4"/>
        <v>/</v>
      </c>
      <c r="K20" s="22" t="str">
        <f t="shared" si="5"/>
        <v>/</v>
      </c>
    </row>
    <row r="21" spans="1:11" ht="15.75">
      <c r="A21" s="19" t="s">
        <v>484</v>
      </c>
      <c r="B21" s="20" t="s">
        <v>839</v>
      </c>
      <c r="C21" s="21">
        <v>15</v>
      </c>
      <c r="D21" s="21">
        <v>0</v>
      </c>
      <c r="E21" s="20"/>
      <c r="F21" s="22" t="str">
        <f t="shared" si="0"/>
        <v>U5561</v>
      </c>
      <c r="G21" s="22" t="str">
        <f t="shared" si="1"/>
        <v>U5560</v>
      </c>
      <c r="H21" s="22" t="str">
        <f t="shared" si="2"/>
        <v>/</v>
      </c>
      <c r="I21" s="22" t="str">
        <f t="shared" si="3"/>
        <v>/</v>
      </c>
      <c r="J21" s="22" t="str">
        <f t="shared" si="4"/>
        <v>/</v>
      </c>
      <c r="K21" s="22" t="str">
        <f t="shared" si="5"/>
        <v>/</v>
      </c>
    </row>
    <row r="22" spans="1:11" ht="15.75">
      <c r="A22" s="19" t="s">
        <v>485</v>
      </c>
      <c r="B22" s="20" t="s">
        <v>839</v>
      </c>
      <c r="C22" s="21">
        <v>15</v>
      </c>
      <c r="D22" s="21">
        <v>0</v>
      </c>
      <c r="E22" s="20"/>
      <c r="F22" s="22" t="str">
        <f t="shared" si="0"/>
        <v>/</v>
      </c>
      <c r="G22" s="22" t="str">
        <f t="shared" si="1"/>
        <v>/</v>
      </c>
      <c r="H22" s="22" t="str">
        <f t="shared" si="2"/>
        <v>/</v>
      </c>
      <c r="I22" s="22" t="str">
        <f t="shared" si="3"/>
        <v>/</v>
      </c>
      <c r="J22" s="22" t="str">
        <f t="shared" si="4"/>
        <v>/</v>
      </c>
      <c r="K22" s="22" t="str">
        <f t="shared" si="5"/>
        <v>/</v>
      </c>
    </row>
  </sheetData>
  <mergeCells count="3">
    <mergeCell ref="A1:B1"/>
    <mergeCell ref="C1:E1"/>
    <mergeCell ref="A2:E2"/>
  </mergeCells>
  <printOptions/>
  <pageMargins left="0.75" right="0.75" top="1" bottom="1" header="0.5" footer="0.5"/>
  <pageSetup orientation="portrait" paperSize="9"/>
</worksheet>
</file>

<file path=xl/worksheets/sheet75.xml><?xml version="1.0" encoding="utf-8"?>
<worksheet xmlns="http://schemas.openxmlformats.org/spreadsheetml/2006/main" xmlns:r="http://schemas.openxmlformats.org/officeDocument/2006/relationships">
  <dimension ref="A1:F8"/>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known)",CA_8401,2,FALSE)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19" t="s">
        <v>19</v>
      </c>
      <c r="B4" s="20" t="s">
        <v>839</v>
      </c>
      <c r="C4" s="21">
        <v>15</v>
      </c>
      <c r="D4" s="21">
        <v>0</v>
      </c>
      <c r="E4" s="20"/>
      <c r="F4" s="22" t="str">
        <f>VLOOKUP(A4,CA_8401,2,FALSE)</f>
        <v>/</v>
      </c>
    </row>
    <row r="5" spans="1:6" ht="15.75">
      <c r="A5" s="19" t="s">
        <v>119</v>
      </c>
      <c r="B5" s="20" t="s">
        <v>839</v>
      </c>
      <c r="C5" s="21">
        <v>15</v>
      </c>
      <c r="D5" s="21">
        <v>0</v>
      </c>
      <c r="E5" s="20"/>
      <c r="F5" s="22" t="str">
        <f>VLOOKUP(A5,CA_8401,2,FALSE)</f>
        <v>/</v>
      </c>
    </row>
    <row r="6" spans="1:6" ht="15.75">
      <c r="A6" s="19" t="s">
        <v>21</v>
      </c>
      <c r="B6" s="20" t="s">
        <v>839</v>
      </c>
      <c r="C6" s="21">
        <v>15</v>
      </c>
      <c r="D6" s="21">
        <v>0</v>
      </c>
      <c r="E6" s="20"/>
      <c r="F6" s="22" t="str">
        <f>VLOOKUP(A6,CA_8401,2,FALSE)</f>
        <v>/</v>
      </c>
    </row>
    <row r="7" spans="1:6" ht="15.75">
      <c r="A7" s="19" t="s">
        <v>377</v>
      </c>
      <c r="B7" s="20" t="s">
        <v>839</v>
      </c>
      <c r="C7" s="21">
        <v>15</v>
      </c>
      <c r="D7" s="21">
        <v>0</v>
      </c>
      <c r="E7" s="20"/>
      <c r="F7" s="22" t="str">
        <f>VLOOKUP(A7,CA_8401,2,FALSE)</f>
        <v>/</v>
      </c>
    </row>
    <row r="8" spans="1:6" ht="15.75">
      <c r="A8" s="19" t="s">
        <v>351</v>
      </c>
      <c r="B8" s="20" t="s">
        <v>839</v>
      </c>
      <c r="C8" s="21">
        <v>15</v>
      </c>
      <c r="D8" s="21">
        <v>0</v>
      </c>
      <c r="E8" s="20"/>
      <c r="F8" s="22" t="str">
        <f>VLOOKUP(A8,CA_8401,2,FALSE)</f>
        <v>/</v>
      </c>
    </row>
  </sheetData>
  <mergeCells count="3">
    <mergeCell ref="A1:B1"/>
    <mergeCell ref="C1:E1"/>
    <mergeCell ref="A2:E2"/>
  </mergeCells>
  <printOptions/>
  <pageMargins left="0.75" right="0.75" top="1" bottom="1" header="0.5" footer="0.5"/>
  <pageSetup orientation="portrait" paperSize="9"/>
</worksheet>
</file>

<file path=xl/worksheets/sheet76.xml><?xml version="1.0" encoding="utf-8"?>
<worksheet xmlns="http://schemas.openxmlformats.org/spreadsheetml/2006/main" xmlns:r="http://schemas.openxmlformats.org/officeDocument/2006/relationships">
  <dimension ref="A1:F23"/>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known)",CA_9504,2,FALSE)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23">VLOOKUP(A4,CA_9504,2,FALSE)</f>
        <v>Controllable Asset</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H6428.2</v>
      </c>
    </row>
    <row r="10" spans="1:6" ht="15.75">
      <c r="A10" s="19" t="s">
        <v>493</v>
      </c>
      <c r="B10" s="20" t="s">
        <v>839</v>
      </c>
      <c r="C10" s="21">
        <v>15</v>
      </c>
      <c r="D10" s="21">
        <v>0</v>
      </c>
      <c r="E10" s="20"/>
      <c r="F10" s="22">
        <f t="shared" si="0"/>
        <v>1989</v>
      </c>
    </row>
    <row r="11" spans="1:6" ht="15.75">
      <c r="A11" s="19" t="s">
        <v>436</v>
      </c>
      <c r="B11" s="20" t="s">
        <v>839</v>
      </c>
      <c r="C11" s="21">
        <v>15</v>
      </c>
      <c r="D11" s="21">
        <v>0</v>
      </c>
      <c r="E11" s="20"/>
      <c r="F11" s="22" t="str">
        <f t="shared" si="0"/>
        <v>/</v>
      </c>
    </row>
    <row r="12" spans="1:6" ht="15.75">
      <c r="A12" s="19" t="s">
        <v>426</v>
      </c>
      <c r="B12" s="20" t="s">
        <v>839</v>
      </c>
      <c r="C12" s="21">
        <v>15</v>
      </c>
      <c r="D12" s="21">
        <v>0</v>
      </c>
      <c r="E12" s="20"/>
      <c r="F12" s="22" t="str">
        <f t="shared" si="0"/>
        <v>18"</v>
      </c>
    </row>
    <row r="13" spans="1:6" ht="15.75">
      <c r="A13" s="19" t="s">
        <v>428</v>
      </c>
      <c r="B13" s="20" t="s">
        <v>839</v>
      </c>
      <c r="C13" s="21">
        <v>15</v>
      </c>
      <c r="D13" s="21">
        <v>0</v>
      </c>
      <c r="E13" s="20"/>
      <c r="F13" s="22" t="str">
        <f t="shared" si="0"/>
        <v>OD</v>
      </c>
    </row>
    <row r="14" spans="1:6" ht="15.75">
      <c r="A14" s="19" t="s">
        <v>430</v>
      </c>
      <c r="B14" s="20" t="s">
        <v>839</v>
      </c>
      <c r="C14" s="21">
        <v>15</v>
      </c>
      <c r="D14" s="21">
        <v>0</v>
      </c>
      <c r="E14" s="20"/>
      <c r="F14" s="22">
        <f t="shared" si="0"/>
        <v>600</v>
      </c>
    </row>
    <row r="15" spans="1:6" ht="15.75">
      <c r="A15" s="19" t="s">
        <v>495</v>
      </c>
      <c r="B15" s="20" t="s">
        <v>839</v>
      </c>
      <c r="C15" s="21">
        <v>15</v>
      </c>
      <c r="D15" s="21">
        <v>0</v>
      </c>
      <c r="E15" s="20"/>
      <c r="F15" s="22" t="str">
        <f t="shared" si="0"/>
        <v>ANSI</v>
      </c>
    </row>
    <row r="16" spans="1:6" ht="15.75">
      <c r="A16" s="19" t="s">
        <v>506</v>
      </c>
      <c r="B16" s="20" t="s">
        <v>839</v>
      </c>
      <c r="C16" s="21">
        <v>15</v>
      </c>
      <c r="D16" s="21">
        <v>0</v>
      </c>
      <c r="E16" s="20"/>
      <c r="F16" s="22" t="str">
        <f t="shared" si="0"/>
        <v>/</v>
      </c>
    </row>
    <row r="17" spans="1:6" ht="15.75">
      <c r="A17" s="19" t="s">
        <v>499</v>
      </c>
      <c r="B17" s="20" t="s">
        <v>839</v>
      </c>
      <c r="C17" s="21">
        <v>15</v>
      </c>
      <c r="D17" s="21">
        <v>0</v>
      </c>
      <c r="E17" s="20"/>
      <c r="F17" s="22" t="str">
        <f t="shared" si="0"/>
        <v>72" S/S</v>
      </c>
    </row>
    <row r="18" spans="1:6" ht="15.75">
      <c r="A18" s="19" t="s">
        <v>433</v>
      </c>
      <c r="B18" s="20" t="s">
        <v>839</v>
      </c>
      <c r="C18" s="21">
        <v>15</v>
      </c>
      <c r="D18" s="21">
        <v>0</v>
      </c>
      <c r="E18" s="20"/>
      <c r="F18" s="22" t="str">
        <f t="shared" si="0"/>
        <v>NO</v>
      </c>
    </row>
    <row r="19" spans="1:6" ht="15.75">
      <c r="A19" s="19" t="s">
        <v>500</v>
      </c>
      <c r="B19" s="20" t="s">
        <v>839</v>
      </c>
      <c r="C19" s="21">
        <v>15</v>
      </c>
      <c r="D19" s="21">
        <v>0</v>
      </c>
      <c r="E19" s="20"/>
      <c r="F19" s="22">
        <f t="shared" si="0"/>
        <v>4378</v>
      </c>
    </row>
    <row r="20" spans="1:6" ht="15.75">
      <c r="A20" s="19" t="s">
        <v>502</v>
      </c>
      <c r="B20" s="20" t="s">
        <v>839</v>
      </c>
      <c r="C20" s="21">
        <v>15</v>
      </c>
      <c r="D20" s="21">
        <v>0</v>
      </c>
      <c r="E20" s="20"/>
      <c r="F20" s="22">
        <f t="shared" si="0"/>
        <v>150</v>
      </c>
    </row>
    <row r="21" spans="1:6" ht="15.75">
      <c r="A21" s="19" t="s">
        <v>119</v>
      </c>
      <c r="B21" s="20" t="s">
        <v>839</v>
      </c>
      <c r="C21" s="21">
        <v>15</v>
      </c>
      <c r="D21" s="21">
        <v>0</v>
      </c>
      <c r="E21" s="20"/>
      <c r="F21" s="22" t="str">
        <f t="shared" si="0"/>
        <v>Conoco Phillips 100%</v>
      </c>
    </row>
    <row r="22" spans="1:6" ht="15.75">
      <c r="A22" s="19" t="s">
        <v>351</v>
      </c>
      <c r="B22" s="20" t="s">
        <v>839</v>
      </c>
      <c r="C22" s="21">
        <v>15</v>
      </c>
      <c r="D22" s="21">
        <v>0</v>
      </c>
      <c r="E22" s="20"/>
      <c r="F22" s="22" t="str">
        <f t="shared" si="0"/>
        <v>GAS</v>
      </c>
    </row>
    <row r="23" spans="1:6" ht="15.75">
      <c r="A23" s="19" t="s">
        <v>504</v>
      </c>
      <c r="B23" s="20" t="s">
        <v>839</v>
      </c>
      <c r="C23" s="21">
        <v>15</v>
      </c>
      <c r="D23" s="21">
        <v>0</v>
      </c>
      <c r="E23" s="20"/>
      <c r="F23" s="22">
        <f t="shared" si="0"/>
        <v>-29</v>
      </c>
    </row>
  </sheetData>
  <mergeCells count="3">
    <mergeCell ref="A1:B1"/>
    <mergeCell ref="C1:E1"/>
    <mergeCell ref="A2:E2"/>
  </mergeCells>
  <printOptions/>
  <pageMargins left="0.75" right="0.75" top="1" bottom="1" header="0.5" footer="0.5"/>
  <pageSetup orientation="portrait" paperSize="9"/>
</worksheet>
</file>

<file path=xl/worksheets/sheet77.xml><?xml version="1.0" encoding="utf-8"?>
<worksheet xmlns="http://schemas.openxmlformats.org/spreadsheetml/2006/main" xmlns:r="http://schemas.openxmlformats.org/officeDocument/2006/relationships">
  <dimension ref="A1:F27"/>
  <sheetViews>
    <sheetView workbookViewId="0" topLeftCell="A1">
      <selection activeCell="B5" sqref="B5"/>
    </sheetView>
  </sheetViews>
  <sheetFormatPr defaultColWidth="9.140625" defaultRowHeight="12.75"/>
  <sheetData>
    <row r="1" spans="1:6" ht="12.75">
      <c r="A1" s="135" t="s">
        <v>831</v>
      </c>
      <c r="B1" s="136"/>
      <c r="C1" s="137" t="s">
        <v>832</v>
      </c>
      <c r="D1" s="138"/>
      <c r="E1" s="139"/>
      <c r="F1" s="16">
        <f>VLOOKUP("SAP Equipment # (if known)",CA_9517,2,FALSE)</f>
        <v>0</v>
      </c>
    </row>
    <row r="2" spans="1:6" ht="12.75">
      <c r="A2" s="137" t="s">
        <v>833</v>
      </c>
      <c r="B2" s="138"/>
      <c r="C2" s="138"/>
      <c r="D2" s="138"/>
      <c r="E2" s="139"/>
      <c r="F2" s="16"/>
    </row>
    <row r="3" spans="1:6" ht="25.5">
      <c r="A3" s="17" t="s">
        <v>834</v>
      </c>
      <c r="B3" s="18" t="s">
        <v>835</v>
      </c>
      <c r="C3" s="18" t="s">
        <v>836</v>
      </c>
      <c r="D3" s="18" t="s">
        <v>837</v>
      </c>
      <c r="E3" s="18" t="s">
        <v>838</v>
      </c>
      <c r="F3" s="16"/>
    </row>
    <row r="4" spans="1:6" ht="15.75">
      <c r="A4" s="19" t="s">
        <v>19</v>
      </c>
      <c r="B4" s="20" t="s">
        <v>839</v>
      </c>
      <c r="C4" s="21">
        <v>15</v>
      </c>
      <c r="D4" s="21">
        <v>0</v>
      </c>
      <c r="E4" s="20"/>
      <c r="F4" s="22" t="str">
        <f aca="true" t="shared" si="0" ref="F4:F27">VLOOKUP(A4,CA_9517,2,FALSE)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v>
      </c>
    </row>
    <row r="10" spans="1:6" ht="15.75">
      <c r="A10" s="19" t="s">
        <v>493</v>
      </c>
      <c r="B10" s="20" t="s">
        <v>839</v>
      </c>
      <c r="C10" s="21">
        <v>15</v>
      </c>
      <c r="D10" s="21">
        <v>0</v>
      </c>
      <c r="E10" s="20"/>
      <c r="F10" s="22" t="str">
        <f t="shared" si="0"/>
        <v>/</v>
      </c>
    </row>
    <row r="11" spans="1:6" ht="15.75">
      <c r="A11" s="19" t="s">
        <v>425</v>
      </c>
      <c r="B11" s="20" t="s">
        <v>839</v>
      </c>
      <c r="C11" s="21">
        <v>15</v>
      </c>
      <c r="D11" s="21">
        <v>0</v>
      </c>
      <c r="E11" s="20"/>
      <c r="F11" s="22" t="str">
        <f t="shared" si="0"/>
        <v>/</v>
      </c>
    </row>
    <row r="12" spans="1:6" ht="15.75">
      <c r="A12" s="19" t="s">
        <v>507</v>
      </c>
      <c r="B12" s="20" t="s">
        <v>839</v>
      </c>
      <c r="C12" s="21">
        <v>15</v>
      </c>
      <c r="D12" s="21">
        <v>0</v>
      </c>
      <c r="E12" s="20"/>
      <c r="F12" s="22" t="str">
        <f t="shared" si="0"/>
        <v>/</v>
      </c>
    </row>
    <row r="13" spans="1:6" ht="15.75">
      <c r="A13" s="19" t="s">
        <v>505</v>
      </c>
      <c r="B13" s="20" t="s">
        <v>839</v>
      </c>
      <c r="C13" s="21">
        <v>15</v>
      </c>
      <c r="D13" s="21">
        <v>0</v>
      </c>
      <c r="E13" s="20"/>
      <c r="F13" s="22" t="str">
        <f t="shared" si="0"/>
        <v>/</v>
      </c>
    </row>
    <row r="14" spans="1:6" ht="15.75">
      <c r="A14" s="19" t="s">
        <v>426</v>
      </c>
      <c r="B14" s="20" t="s">
        <v>839</v>
      </c>
      <c r="C14" s="21">
        <v>15</v>
      </c>
      <c r="D14" s="21">
        <v>0</v>
      </c>
      <c r="E14" s="20"/>
      <c r="F14" s="22" t="str">
        <f t="shared" si="0"/>
        <v>/</v>
      </c>
    </row>
    <row r="15" spans="1:6" ht="15.75">
      <c r="A15" s="19" t="s">
        <v>428</v>
      </c>
      <c r="B15" s="20" t="s">
        <v>839</v>
      </c>
      <c r="C15" s="21">
        <v>15</v>
      </c>
      <c r="D15" s="21">
        <v>0</v>
      </c>
      <c r="E15" s="20"/>
      <c r="F15" s="22" t="str">
        <f t="shared" si="0"/>
        <v>/</v>
      </c>
    </row>
    <row r="16" spans="1:6" ht="15.75">
      <c r="A16" s="19" t="s">
        <v>429</v>
      </c>
      <c r="B16" s="20" t="s">
        <v>839</v>
      </c>
      <c r="C16" s="21">
        <v>15</v>
      </c>
      <c r="D16" s="21">
        <v>0</v>
      </c>
      <c r="E16" s="20"/>
      <c r="F16" s="22" t="str">
        <f t="shared" si="0"/>
        <v>/</v>
      </c>
    </row>
    <row r="17" spans="1:6" ht="15.75">
      <c r="A17" s="19" t="s">
        <v>430</v>
      </c>
      <c r="B17" s="20" t="s">
        <v>839</v>
      </c>
      <c r="C17" s="21">
        <v>15</v>
      </c>
      <c r="D17" s="21">
        <v>0</v>
      </c>
      <c r="E17" s="20"/>
      <c r="F17" s="22" t="str">
        <f t="shared" si="0"/>
        <v>/</v>
      </c>
    </row>
    <row r="18" spans="1:6" ht="15.75">
      <c r="A18" s="19" t="s">
        <v>495</v>
      </c>
      <c r="B18" s="20" t="s">
        <v>839</v>
      </c>
      <c r="C18" s="21">
        <v>15</v>
      </c>
      <c r="D18" s="21">
        <v>0</v>
      </c>
      <c r="E18" s="20"/>
      <c r="F18" s="22" t="str">
        <f t="shared" si="0"/>
        <v>/</v>
      </c>
    </row>
    <row r="19" spans="1:6" ht="15.75">
      <c r="A19" s="19" t="s">
        <v>506</v>
      </c>
      <c r="B19" s="20" t="s">
        <v>839</v>
      </c>
      <c r="C19" s="21">
        <v>15</v>
      </c>
      <c r="D19" s="21">
        <v>0</v>
      </c>
      <c r="E19" s="20"/>
      <c r="F19" s="22" t="str">
        <f t="shared" si="0"/>
        <v>/</v>
      </c>
    </row>
    <row r="20" spans="1:6" ht="15.75">
      <c r="A20" s="19" t="s">
        <v>498</v>
      </c>
      <c r="B20" s="20" t="s">
        <v>839</v>
      </c>
      <c r="C20" s="21">
        <v>15</v>
      </c>
      <c r="D20" s="21">
        <v>0</v>
      </c>
      <c r="E20" s="20"/>
      <c r="F20" s="22" t="str">
        <f t="shared" si="0"/>
        <v>/</v>
      </c>
    </row>
    <row r="21" spans="1:6" ht="15.75">
      <c r="A21" s="19" t="s">
        <v>499</v>
      </c>
      <c r="B21" s="20" t="s">
        <v>839</v>
      </c>
      <c r="C21" s="21">
        <v>15</v>
      </c>
      <c r="D21" s="21">
        <v>0</v>
      </c>
      <c r="E21" s="20"/>
      <c r="F21" s="22" t="str">
        <f t="shared" si="0"/>
        <v>/</v>
      </c>
    </row>
    <row r="22" spans="1:6" ht="15.75">
      <c r="A22" s="19" t="s">
        <v>433</v>
      </c>
      <c r="B22" s="20" t="s">
        <v>839</v>
      </c>
      <c r="C22" s="21">
        <v>15</v>
      </c>
      <c r="D22" s="21">
        <v>0</v>
      </c>
      <c r="E22" s="20"/>
      <c r="F22" s="22" t="str">
        <f t="shared" si="0"/>
        <v>/</v>
      </c>
    </row>
    <row r="23" spans="1:6" ht="15.75">
      <c r="A23" s="19" t="s">
        <v>500</v>
      </c>
      <c r="B23" s="20" t="s">
        <v>839</v>
      </c>
      <c r="C23" s="21">
        <v>15</v>
      </c>
      <c r="D23" s="21">
        <v>0</v>
      </c>
      <c r="E23" s="20"/>
      <c r="F23" s="22" t="str">
        <f t="shared" si="0"/>
        <v>/</v>
      </c>
    </row>
    <row r="24" spans="1:6" ht="15.75">
      <c r="A24" s="19" t="s">
        <v>502</v>
      </c>
      <c r="B24" s="20" t="s">
        <v>839</v>
      </c>
      <c r="C24" s="21">
        <v>15</v>
      </c>
      <c r="D24" s="21">
        <v>0</v>
      </c>
      <c r="E24" s="20"/>
      <c r="F24" s="22" t="str">
        <f t="shared" si="0"/>
        <v>/</v>
      </c>
    </row>
    <row r="25" spans="1:6" ht="15.75">
      <c r="A25" s="19" t="s">
        <v>119</v>
      </c>
      <c r="B25" s="20" t="s">
        <v>839</v>
      </c>
      <c r="C25" s="21">
        <v>15</v>
      </c>
      <c r="D25" s="21">
        <v>0</v>
      </c>
      <c r="E25" s="20"/>
      <c r="F25" s="22" t="str">
        <f t="shared" si="0"/>
        <v>/</v>
      </c>
    </row>
    <row r="26" spans="1:6" ht="15.75">
      <c r="A26" s="19" t="s">
        <v>351</v>
      </c>
      <c r="B26" s="20" t="s">
        <v>839</v>
      </c>
      <c r="C26" s="21">
        <v>15</v>
      </c>
      <c r="D26" s="21">
        <v>0</v>
      </c>
      <c r="E26" s="20"/>
      <c r="F26" s="22" t="str">
        <f t="shared" si="0"/>
        <v>/</v>
      </c>
    </row>
    <row r="27" spans="1:6" ht="15.75">
      <c r="A27" s="19" t="s">
        <v>504</v>
      </c>
      <c r="B27" s="20" t="s">
        <v>839</v>
      </c>
      <c r="C27" s="21">
        <v>15</v>
      </c>
      <c r="D27" s="21">
        <v>0</v>
      </c>
      <c r="E27" s="20"/>
      <c r="F27"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8.xml><?xml version="1.0" encoding="utf-8"?>
<worksheet xmlns="http://schemas.openxmlformats.org/spreadsheetml/2006/main" xmlns:r="http://schemas.openxmlformats.org/officeDocument/2006/relationships">
  <dimension ref="A1:F25"/>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known)",CA_9526,2,FALSE)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25">VLOOKUP(A4,CA_9526,2,FALSE)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v>
      </c>
    </row>
    <row r="10" spans="1:6" ht="15.75">
      <c r="A10" s="19" t="s">
        <v>493</v>
      </c>
      <c r="B10" s="20" t="s">
        <v>839</v>
      </c>
      <c r="C10" s="21">
        <v>15</v>
      </c>
      <c r="D10" s="21">
        <v>0</v>
      </c>
      <c r="E10" s="20"/>
      <c r="F10" s="22" t="str">
        <f t="shared" si="0"/>
        <v>/</v>
      </c>
    </row>
    <row r="11" spans="1:6" ht="15.75">
      <c r="A11" s="19" t="s">
        <v>436</v>
      </c>
      <c r="B11" s="20" t="s">
        <v>839</v>
      </c>
      <c r="C11" s="21">
        <v>15</v>
      </c>
      <c r="D11" s="21">
        <v>0</v>
      </c>
      <c r="E11" s="20"/>
      <c r="F11" s="22" t="str">
        <f t="shared" si="0"/>
        <v>/</v>
      </c>
    </row>
    <row r="12" spans="1:6" ht="15.75">
      <c r="A12" s="19" t="s">
        <v>426</v>
      </c>
      <c r="B12" s="20" t="s">
        <v>839</v>
      </c>
      <c r="C12" s="21">
        <v>15</v>
      </c>
      <c r="D12" s="21">
        <v>0</v>
      </c>
      <c r="E12" s="20"/>
      <c r="F12" s="22" t="str">
        <f t="shared" si="0"/>
        <v>/</v>
      </c>
    </row>
    <row r="13" spans="1:6" ht="15.75">
      <c r="A13" s="19" t="s">
        <v>428</v>
      </c>
      <c r="B13" s="20" t="s">
        <v>839</v>
      </c>
      <c r="C13" s="21">
        <v>15</v>
      </c>
      <c r="D13" s="21">
        <v>0</v>
      </c>
      <c r="E13" s="20"/>
      <c r="F13" s="22" t="str">
        <f t="shared" si="0"/>
        <v>/</v>
      </c>
    </row>
    <row r="14" spans="1:6" ht="15.75">
      <c r="A14" s="19" t="s">
        <v>430</v>
      </c>
      <c r="B14" s="20" t="s">
        <v>839</v>
      </c>
      <c r="C14" s="21">
        <v>15</v>
      </c>
      <c r="D14" s="21">
        <v>0</v>
      </c>
      <c r="E14" s="20"/>
      <c r="F14" s="22" t="str">
        <f t="shared" si="0"/>
        <v>/</v>
      </c>
    </row>
    <row r="15" spans="1:6" ht="15.75">
      <c r="A15" s="19" t="s">
        <v>495</v>
      </c>
      <c r="B15" s="20" t="s">
        <v>839</v>
      </c>
      <c r="C15" s="21">
        <v>15</v>
      </c>
      <c r="D15" s="21">
        <v>0</v>
      </c>
      <c r="E15" s="20"/>
      <c r="F15" s="22" t="str">
        <f t="shared" si="0"/>
        <v>/</v>
      </c>
    </row>
    <row r="16" spans="1:6" ht="15.75">
      <c r="A16" s="19" t="s">
        <v>506</v>
      </c>
      <c r="B16" s="20" t="s">
        <v>839</v>
      </c>
      <c r="C16" s="21">
        <v>15</v>
      </c>
      <c r="D16" s="21">
        <v>0</v>
      </c>
      <c r="E16" s="20"/>
      <c r="F16" s="22" t="str">
        <f t="shared" si="0"/>
        <v>/</v>
      </c>
    </row>
    <row r="17" spans="1:6" ht="15.75">
      <c r="A17" s="19" t="s">
        <v>498</v>
      </c>
      <c r="B17" s="20" t="s">
        <v>839</v>
      </c>
      <c r="C17" s="21">
        <v>15</v>
      </c>
      <c r="D17" s="21">
        <v>0</v>
      </c>
      <c r="E17" s="20"/>
      <c r="F17" s="22" t="str">
        <f t="shared" si="0"/>
        <v>/</v>
      </c>
    </row>
    <row r="18" spans="1:6" ht="15.75">
      <c r="A18" s="19" t="s">
        <v>437</v>
      </c>
      <c r="B18" s="20" t="s">
        <v>839</v>
      </c>
      <c r="C18" s="21">
        <v>15</v>
      </c>
      <c r="D18" s="21">
        <v>0</v>
      </c>
      <c r="E18" s="20"/>
      <c r="F18" s="22" t="str">
        <f t="shared" si="0"/>
        <v>/</v>
      </c>
    </row>
    <row r="19" spans="1:6" ht="15.75">
      <c r="A19" s="19" t="s">
        <v>499</v>
      </c>
      <c r="B19" s="20" t="s">
        <v>839</v>
      </c>
      <c r="C19" s="21">
        <v>15</v>
      </c>
      <c r="D19" s="21">
        <v>0</v>
      </c>
      <c r="E19" s="20"/>
      <c r="F19" s="22" t="str">
        <f t="shared" si="0"/>
        <v>/</v>
      </c>
    </row>
    <row r="20" spans="1:6" ht="15.75">
      <c r="A20" s="19" t="s">
        <v>433</v>
      </c>
      <c r="B20" s="20" t="s">
        <v>839</v>
      </c>
      <c r="C20" s="21">
        <v>15</v>
      </c>
      <c r="D20" s="21">
        <v>0</v>
      </c>
      <c r="E20" s="20"/>
      <c r="F20" s="22" t="str">
        <f t="shared" si="0"/>
        <v>/</v>
      </c>
    </row>
    <row r="21" spans="1:6" ht="15.75">
      <c r="A21" s="19" t="s">
        <v>500</v>
      </c>
      <c r="B21" s="20" t="s">
        <v>839</v>
      </c>
      <c r="C21" s="21">
        <v>15</v>
      </c>
      <c r="D21" s="21">
        <v>0</v>
      </c>
      <c r="E21" s="20"/>
      <c r="F21" s="22" t="str">
        <f t="shared" si="0"/>
        <v>/</v>
      </c>
    </row>
    <row r="22" spans="1:6" ht="15.75">
      <c r="A22" s="19" t="s">
        <v>502</v>
      </c>
      <c r="B22" s="20" t="s">
        <v>839</v>
      </c>
      <c r="C22" s="21">
        <v>15</v>
      </c>
      <c r="D22" s="21">
        <v>0</v>
      </c>
      <c r="E22" s="20"/>
      <c r="F22" s="22" t="str">
        <f t="shared" si="0"/>
        <v>/</v>
      </c>
    </row>
    <row r="23" spans="1:6" ht="15.75">
      <c r="A23" s="19" t="s">
        <v>119</v>
      </c>
      <c r="B23" s="20" t="s">
        <v>839</v>
      </c>
      <c r="C23" s="21">
        <v>15</v>
      </c>
      <c r="D23" s="21">
        <v>0</v>
      </c>
      <c r="E23" s="20"/>
      <c r="F23" s="22" t="str">
        <f t="shared" si="0"/>
        <v>/</v>
      </c>
    </row>
    <row r="24" spans="1:6" ht="15.75">
      <c r="A24" s="19" t="s">
        <v>351</v>
      </c>
      <c r="B24" s="20" t="s">
        <v>839</v>
      </c>
      <c r="C24" s="21">
        <v>15</v>
      </c>
      <c r="D24" s="21">
        <v>0</v>
      </c>
      <c r="E24" s="20"/>
      <c r="F24" s="22" t="str">
        <f t="shared" si="0"/>
        <v>/</v>
      </c>
    </row>
    <row r="25" spans="1:6" ht="15.75">
      <c r="A25" s="19" t="s">
        <v>504</v>
      </c>
      <c r="B25" s="20" t="s">
        <v>839</v>
      </c>
      <c r="C25" s="21">
        <v>15</v>
      </c>
      <c r="D25" s="21">
        <v>0</v>
      </c>
      <c r="E25" s="20"/>
      <c r="F25"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79.xml><?xml version="1.0" encoding="utf-8"?>
<worksheet xmlns="http://schemas.openxmlformats.org/spreadsheetml/2006/main" xmlns:r="http://schemas.openxmlformats.org/officeDocument/2006/relationships">
  <dimension ref="A1:F26"/>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known)",CA_9527,2,FALSE)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26">VLOOKUP(A4,CA_9527,2,FALSE)</f>
        <v>/</v>
      </c>
    </row>
    <row r="5" spans="1:6" ht="15.75">
      <c r="A5" s="19" t="s">
        <v>420</v>
      </c>
      <c r="B5" s="20" t="s">
        <v>839</v>
      </c>
      <c r="C5" s="21">
        <v>15</v>
      </c>
      <c r="D5" s="21">
        <v>0</v>
      </c>
      <c r="E5" s="20"/>
      <c r="F5" s="22" t="str">
        <f t="shared" si="0"/>
        <v>/</v>
      </c>
    </row>
    <row r="6" spans="1:6" ht="15.75">
      <c r="A6" s="19" t="s">
        <v>421</v>
      </c>
      <c r="B6" s="20" t="s">
        <v>839</v>
      </c>
      <c r="C6" s="21">
        <v>15</v>
      </c>
      <c r="D6" s="21">
        <v>0</v>
      </c>
      <c r="E6" s="20"/>
      <c r="F6" s="22" t="str">
        <f t="shared" si="0"/>
        <v>/</v>
      </c>
    </row>
    <row r="7" spans="1:6" ht="15.75">
      <c r="A7" s="19" t="s">
        <v>422</v>
      </c>
      <c r="B7" s="20" t="s">
        <v>839</v>
      </c>
      <c r="C7" s="21">
        <v>15</v>
      </c>
      <c r="D7" s="21">
        <v>0</v>
      </c>
      <c r="E7" s="20"/>
      <c r="F7" s="22" t="str">
        <f t="shared" si="0"/>
        <v>/</v>
      </c>
    </row>
    <row r="8" spans="1:6" ht="15.75">
      <c r="A8" s="19" t="s">
        <v>492</v>
      </c>
      <c r="B8" s="20" t="s">
        <v>839</v>
      </c>
      <c r="C8" s="21">
        <v>15</v>
      </c>
      <c r="D8" s="21">
        <v>0</v>
      </c>
      <c r="E8" s="20"/>
      <c r="F8" s="22" t="str">
        <f t="shared" si="0"/>
        <v>/</v>
      </c>
    </row>
    <row r="9" spans="1:6" ht="15.75">
      <c r="A9" s="19" t="s">
        <v>424</v>
      </c>
      <c r="B9" s="20" t="s">
        <v>839</v>
      </c>
      <c r="C9" s="21">
        <v>15</v>
      </c>
      <c r="D9" s="21">
        <v>0</v>
      </c>
      <c r="E9" s="20"/>
      <c r="F9" s="22" t="str">
        <f t="shared" si="0"/>
        <v>/</v>
      </c>
    </row>
    <row r="10" spans="1:6" ht="15.75">
      <c r="A10" s="19" t="s">
        <v>493</v>
      </c>
      <c r="B10" s="20" t="s">
        <v>839</v>
      </c>
      <c r="C10" s="21">
        <v>15</v>
      </c>
      <c r="D10" s="21">
        <v>0</v>
      </c>
      <c r="E10" s="20"/>
      <c r="F10" s="22" t="str">
        <f t="shared" si="0"/>
        <v>/</v>
      </c>
    </row>
    <row r="11" spans="1:6" ht="15.75">
      <c r="A11" s="19" t="s">
        <v>436</v>
      </c>
      <c r="B11" s="20" t="s">
        <v>839</v>
      </c>
      <c r="C11" s="21">
        <v>15</v>
      </c>
      <c r="D11" s="21">
        <v>0</v>
      </c>
      <c r="E11" s="20"/>
      <c r="F11" s="22" t="str">
        <f t="shared" si="0"/>
        <v>/</v>
      </c>
    </row>
    <row r="12" spans="1:6" ht="15.75">
      <c r="A12" s="19" t="s">
        <v>426</v>
      </c>
      <c r="B12" s="20" t="s">
        <v>839</v>
      </c>
      <c r="C12" s="21">
        <v>15</v>
      </c>
      <c r="D12" s="21">
        <v>0</v>
      </c>
      <c r="E12" s="20"/>
      <c r="F12" s="22" t="str">
        <f t="shared" si="0"/>
        <v>/</v>
      </c>
    </row>
    <row r="13" spans="1:6" ht="15.75">
      <c r="A13" s="19" t="s">
        <v>428</v>
      </c>
      <c r="B13" s="20" t="s">
        <v>839</v>
      </c>
      <c r="C13" s="21">
        <v>15</v>
      </c>
      <c r="D13" s="21">
        <v>0</v>
      </c>
      <c r="E13" s="20"/>
      <c r="F13" s="22" t="str">
        <f t="shared" si="0"/>
        <v>/</v>
      </c>
    </row>
    <row r="14" spans="1:6" ht="15.75">
      <c r="A14" s="19" t="s">
        <v>430</v>
      </c>
      <c r="B14" s="20" t="s">
        <v>839</v>
      </c>
      <c r="C14" s="21">
        <v>15</v>
      </c>
      <c r="D14" s="21">
        <v>0</v>
      </c>
      <c r="E14" s="20"/>
      <c r="F14" s="22" t="str">
        <f t="shared" si="0"/>
        <v>/</v>
      </c>
    </row>
    <row r="15" spans="1:6" ht="15.75">
      <c r="A15" s="19" t="s">
        <v>495</v>
      </c>
      <c r="B15" s="20" t="s">
        <v>839</v>
      </c>
      <c r="C15" s="21">
        <v>15</v>
      </c>
      <c r="D15" s="21">
        <v>0</v>
      </c>
      <c r="E15" s="20"/>
      <c r="F15" s="22" t="str">
        <f t="shared" si="0"/>
        <v>/</v>
      </c>
    </row>
    <row r="16" spans="1:6" ht="15.75">
      <c r="A16" s="19" t="s">
        <v>506</v>
      </c>
      <c r="B16" s="20" t="s">
        <v>839</v>
      </c>
      <c r="C16" s="21">
        <v>15</v>
      </c>
      <c r="D16" s="21">
        <v>0</v>
      </c>
      <c r="E16" s="20"/>
      <c r="F16" s="22" t="str">
        <f t="shared" si="0"/>
        <v>/</v>
      </c>
    </row>
    <row r="17" spans="1:6" ht="15.75">
      <c r="A17" s="19" t="s">
        <v>498</v>
      </c>
      <c r="B17" s="20" t="s">
        <v>839</v>
      </c>
      <c r="C17" s="21">
        <v>15</v>
      </c>
      <c r="D17" s="21">
        <v>0</v>
      </c>
      <c r="E17" s="20"/>
      <c r="F17" s="22" t="str">
        <f t="shared" si="0"/>
        <v>/</v>
      </c>
    </row>
    <row r="18" spans="1:6" ht="15.75">
      <c r="A18" s="19" t="s">
        <v>437</v>
      </c>
      <c r="B18" s="20" t="s">
        <v>839</v>
      </c>
      <c r="C18" s="21">
        <v>15</v>
      </c>
      <c r="D18" s="21">
        <v>0</v>
      </c>
      <c r="E18" s="20"/>
      <c r="F18" s="22" t="str">
        <f t="shared" si="0"/>
        <v>/</v>
      </c>
    </row>
    <row r="19" spans="1:6" ht="15.75">
      <c r="A19" s="19" t="s">
        <v>508</v>
      </c>
      <c r="B19" s="20" t="s">
        <v>839</v>
      </c>
      <c r="C19" s="21">
        <v>15</v>
      </c>
      <c r="D19" s="21">
        <v>0</v>
      </c>
      <c r="E19" s="20"/>
      <c r="F19" s="22" t="str">
        <f t="shared" si="0"/>
        <v>/</v>
      </c>
    </row>
    <row r="20" spans="1:6" ht="15.75">
      <c r="A20" s="19" t="s">
        <v>499</v>
      </c>
      <c r="B20" s="20" t="s">
        <v>839</v>
      </c>
      <c r="C20" s="21">
        <v>15</v>
      </c>
      <c r="D20" s="21">
        <v>0</v>
      </c>
      <c r="E20" s="20"/>
      <c r="F20" s="22" t="str">
        <f t="shared" si="0"/>
        <v>/</v>
      </c>
    </row>
    <row r="21" spans="1:6" ht="15.75">
      <c r="A21" s="19" t="s">
        <v>433</v>
      </c>
      <c r="B21" s="20" t="s">
        <v>839</v>
      </c>
      <c r="C21" s="21">
        <v>15</v>
      </c>
      <c r="D21" s="21">
        <v>0</v>
      </c>
      <c r="E21" s="20"/>
      <c r="F21" s="22" t="str">
        <f t="shared" si="0"/>
        <v>/</v>
      </c>
    </row>
    <row r="22" spans="1:6" ht="15.75">
      <c r="A22" s="19" t="s">
        <v>500</v>
      </c>
      <c r="B22" s="20" t="s">
        <v>839</v>
      </c>
      <c r="C22" s="21">
        <v>15</v>
      </c>
      <c r="D22" s="21">
        <v>0</v>
      </c>
      <c r="E22" s="20"/>
      <c r="F22" s="22" t="str">
        <f t="shared" si="0"/>
        <v>/</v>
      </c>
    </row>
    <row r="23" spans="1:6" ht="15.75">
      <c r="A23" s="19" t="s">
        <v>502</v>
      </c>
      <c r="B23" s="20" t="s">
        <v>839</v>
      </c>
      <c r="C23" s="21">
        <v>15</v>
      </c>
      <c r="D23" s="21">
        <v>0</v>
      </c>
      <c r="E23" s="20"/>
      <c r="F23" s="22" t="str">
        <f t="shared" si="0"/>
        <v>/</v>
      </c>
    </row>
    <row r="24" spans="1:6" ht="15.75">
      <c r="A24" s="19" t="s">
        <v>119</v>
      </c>
      <c r="B24" s="20" t="s">
        <v>839</v>
      </c>
      <c r="C24" s="21">
        <v>15</v>
      </c>
      <c r="D24" s="21">
        <v>0</v>
      </c>
      <c r="E24" s="20"/>
      <c r="F24" s="22" t="str">
        <f t="shared" si="0"/>
        <v>/</v>
      </c>
    </row>
    <row r="25" spans="1:6" ht="15.75">
      <c r="A25" s="19" t="s">
        <v>351</v>
      </c>
      <c r="B25" s="20" t="s">
        <v>839</v>
      </c>
      <c r="C25" s="21">
        <v>15</v>
      </c>
      <c r="D25" s="21">
        <v>0</v>
      </c>
      <c r="E25" s="20"/>
      <c r="F25" s="22" t="str">
        <f t="shared" si="0"/>
        <v>/</v>
      </c>
    </row>
    <row r="26" spans="1:6" ht="15.75">
      <c r="A26" s="19" t="s">
        <v>504</v>
      </c>
      <c r="B26" s="20" t="s">
        <v>839</v>
      </c>
      <c r="C26" s="21">
        <v>15</v>
      </c>
      <c r="D26" s="21">
        <v>0</v>
      </c>
      <c r="E26" s="20"/>
      <c r="F26"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E4" sqref="E4"/>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v>10703885</v>
      </c>
      <c r="C2" s="72"/>
      <c r="E2" s="84" t="s">
        <v>1334</v>
      </c>
    </row>
    <row r="3" spans="1:3" ht="12.75">
      <c r="A3" s="72" t="s">
        <v>4</v>
      </c>
      <c r="B3" s="4" t="s">
        <v>138</v>
      </c>
      <c r="C3" s="23"/>
    </row>
    <row r="4" spans="1:5" ht="12.75">
      <c r="A4" s="72" t="s">
        <v>6</v>
      </c>
      <c r="B4" s="4" t="s">
        <v>944</v>
      </c>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v>11671798</v>
      </c>
      <c r="C12" s="72"/>
    </row>
    <row r="13" spans="1:3" ht="12.75">
      <c r="A13" s="72" t="s">
        <v>491</v>
      </c>
      <c r="B13" s="4" t="str">
        <f>+'9707 Compressor Pkg'!B13</f>
        <v>INAC-Suspended, Shut-in</v>
      </c>
      <c r="C13" s="23" t="s">
        <v>510</v>
      </c>
    </row>
    <row r="14" spans="1:3" ht="12.75">
      <c r="A14" s="72" t="s">
        <v>14</v>
      </c>
      <c r="B14" s="2" t="s">
        <v>1339</v>
      </c>
      <c r="C14" s="72"/>
    </row>
    <row r="15" spans="1:3" ht="12.75">
      <c r="A15" s="72" t="s">
        <v>15</v>
      </c>
      <c r="B15" s="2" t="s">
        <v>1340</v>
      </c>
      <c r="C15" s="72"/>
    </row>
    <row r="16" spans="1:3" ht="12.75">
      <c r="A16" s="72" t="s">
        <v>16</v>
      </c>
      <c r="B16" s="73" t="s">
        <v>879</v>
      </c>
      <c r="C16" s="72"/>
    </row>
    <row r="17" spans="1:3" ht="12.75">
      <c r="A17" s="72" t="s">
        <v>17</v>
      </c>
      <c r="B17" s="74" t="s">
        <v>1341</v>
      </c>
      <c r="C17" s="72"/>
    </row>
    <row r="18" spans="1:3" ht="12.75">
      <c r="A18" s="72" t="s">
        <v>88</v>
      </c>
      <c r="B18" s="73" t="s">
        <v>879</v>
      </c>
      <c r="C18" s="72"/>
    </row>
    <row r="19" spans="1:3" ht="12.75">
      <c r="A19" s="72" t="s">
        <v>93</v>
      </c>
      <c r="B19" s="73" t="s">
        <v>879</v>
      </c>
      <c r="C19" s="72"/>
    </row>
    <row r="20" spans="1:3" ht="12.75">
      <c r="A20" s="5" t="s">
        <v>19</v>
      </c>
      <c r="B20" s="87" t="s">
        <v>28</v>
      </c>
      <c r="C20" s="23" t="s">
        <v>510</v>
      </c>
    </row>
    <row r="21" spans="1:3" ht="12.75">
      <c r="A21" s="5" t="s">
        <v>360</v>
      </c>
      <c r="B21" s="108">
        <v>4.25</v>
      </c>
      <c r="C21" s="23" t="s">
        <v>512</v>
      </c>
    </row>
    <row r="22" spans="1:3" ht="12.75">
      <c r="A22" s="5" t="s">
        <v>361</v>
      </c>
      <c r="B22" s="87"/>
      <c r="C22" s="23"/>
    </row>
    <row r="23" spans="1:3" ht="12.75">
      <c r="A23" s="5" t="s">
        <v>362</v>
      </c>
      <c r="B23" s="87">
        <v>1200</v>
      </c>
      <c r="C23" s="23"/>
    </row>
    <row r="24" spans="1:3" ht="12.75">
      <c r="A24" s="5" t="s">
        <v>363</v>
      </c>
      <c r="B24" s="109">
        <v>20000</v>
      </c>
      <c r="C24" s="23"/>
    </row>
    <row r="25" spans="1:3" ht="12.75">
      <c r="A25" s="5" t="s">
        <v>364</v>
      </c>
      <c r="B25" s="109">
        <v>16000</v>
      </c>
      <c r="C25" s="23"/>
    </row>
    <row r="26" spans="1:3" ht="12.75">
      <c r="A26" s="5" t="s">
        <v>114</v>
      </c>
      <c r="B26" s="87">
        <v>2</v>
      </c>
      <c r="C26" s="23"/>
    </row>
    <row r="27" spans="1:3" ht="12.75">
      <c r="A27" s="5" t="s">
        <v>365</v>
      </c>
      <c r="B27" s="87">
        <v>2</v>
      </c>
      <c r="C27" s="23"/>
    </row>
    <row r="28" spans="1:3" ht="12.75">
      <c r="A28" s="5" t="s">
        <v>119</v>
      </c>
      <c r="B28" s="107" t="s">
        <v>1337</v>
      </c>
      <c r="C28" s="23"/>
    </row>
    <row r="29" spans="1:3" ht="12.75">
      <c r="A29" s="5" t="s">
        <v>366</v>
      </c>
      <c r="B29" s="87" t="s">
        <v>879</v>
      </c>
      <c r="C29" s="23" t="s">
        <v>367</v>
      </c>
    </row>
    <row r="30" spans="1:3" ht="12.75">
      <c r="A30" s="5" t="s">
        <v>368</v>
      </c>
      <c r="B30" s="87">
        <v>512</v>
      </c>
      <c r="C30" s="23" t="s">
        <v>369</v>
      </c>
    </row>
    <row r="31" spans="1:3" ht="12.75">
      <c r="A31" s="5" t="s">
        <v>370</v>
      </c>
      <c r="B31" s="87" t="s">
        <v>879</v>
      </c>
      <c r="C31" s="23" t="s">
        <v>512</v>
      </c>
    </row>
    <row r="32" spans="1:3" ht="12.75">
      <c r="A32" s="5" t="s">
        <v>356</v>
      </c>
      <c r="B32" s="87" t="s">
        <v>879</v>
      </c>
      <c r="C32" s="23" t="s">
        <v>510</v>
      </c>
    </row>
    <row r="33" spans="1:3" ht="12.75">
      <c r="A33" s="5" t="s">
        <v>371</v>
      </c>
      <c r="B33" s="87" t="s">
        <v>879</v>
      </c>
      <c r="C33" s="23"/>
    </row>
    <row r="34" spans="1:3" ht="12.75">
      <c r="A34" s="5" t="s">
        <v>357</v>
      </c>
      <c r="B34" s="87" t="s">
        <v>879</v>
      </c>
      <c r="C34" s="23" t="s">
        <v>510</v>
      </c>
    </row>
    <row r="35" spans="1:3" ht="12.75">
      <c r="A35" s="5" t="s">
        <v>358</v>
      </c>
      <c r="B35" s="87" t="s">
        <v>879</v>
      </c>
      <c r="C35" s="23" t="s">
        <v>510</v>
      </c>
    </row>
    <row r="36" spans="1:3" ht="12.75">
      <c r="A36" s="5" t="s">
        <v>359</v>
      </c>
      <c r="B36" s="87" t="s">
        <v>879</v>
      </c>
      <c r="C36" s="23" t="s">
        <v>510</v>
      </c>
    </row>
    <row r="37" spans="1:3" ht="12.75">
      <c r="A37" s="5" t="s">
        <v>353</v>
      </c>
      <c r="B37" s="87" t="s">
        <v>879</v>
      </c>
      <c r="C37" s="23"/>
    </row>
    <row r="38" spans="1:3" ht="12.75">
      <c r="A38" s="5" t="s">
        <v>354</v>
      </c>
      <c r="B38" s="87" t="s">
        <v>879</v>
      </c>
      <c r="C38" s="23" t="s">
        <v>355</v>
      </c>
    </row>
    <row r="40" spans="1:3" ht="25.5">
      <c r="A40" s="76" t="s">
        <v>1252</v>
      </c>
      <c r="B40" s="74" t="s">
        <v>1334</v>
      </c>
      <c r="C40" s="23" t="s">
        <v>510</v>
      </c>
    </row>
    <row r="41" spans="1:3" ht="25.5">
      <c r="A41" s="76" t="s">
        <v>1253</v>
      </c>
      <c r="B41" s="74"/>
      <c r="C41" s="23" t="s">
        <v>510</v>
      </c>
    </row>
    <row r="42" spans="1:3" ht="12.75">
      <c r="A42" s="76" t="s">
        <v>1254</v>
      </c>
      <c r="B42" s="74"/>
      <c r="C42" s="23" t="s">
        <v>510</v>
      </c>
    </row>
    <row r="43" spans="1:3" ht="38.25">
      <c r="A43" s="76" t="s">
        <v>1255</v>
      </c>
      <c r="B43" s="74"/>
      <c r="C43" s="23" t="s">
        <v>510</v>
      </c>
    </row>
    <row r="44" spans="1:3" ht="51">
      <c r="A44" s="76" t="s">
        <v>1256</v>
      </c>
      <c r="B44" s="74"/>
      <c r="C44" s="23" t="s">
        <v>510</v>
      </c>
    </row>
    <row r="45" spans="1:3" ht="51">
      <c r="A45" s="76" t="s">
        <v>1257</v>
      </c>
      <c r="B45" s="74"/>
      <c r="C45" s="23" t="s">
        <v>510</v>
      </c>
    </row>
    <row r="46" spans="1:3" ht="25.5">
      <c r="A46" s="76" t="s">
        <v>1258</v>
      </c>
      <c r="B46" s="74"/>
      <c r="C46" s="23"/>
    </row>
    <row r="48" spans="1:3" ht="12.75">
      <c r="A48" s="120" t="s">
        <v>154</v>
      </c>
      <c r="B48" s="120"/>
      <c r="C48" s="120"/>
    </row>
    <row r="49" spans="1:3" ht="12.75">
      <c r="A49" s="121"/>
      <c r="B49" s="122"/>
      <c r="C49" s="123"/>
    </row>
    <row r="50" spans="1:3" ht="12.75">
      <c r="A50" s="124"/>
      <c r="B50" s="125"/>
      <c r="C50" s="126"/>
    </row>
    <row r="51" spans="1:3" ht="12.75">
      <c r="A51" s="124"/>
      <c r="B51" s="125"/>
      <c r="C51" s="126"/>
    </row>
    <row r="52" spans="1:3" ht="12.75">
      <c r="A52" s="124"/>
      <c r="B52" s="125"/>
      <c r="C52" s="126"/>
    </row>
    <row r="53" spans="1:3" ht="12.75">
      <c r="A53" s="124"/>
      <c r="B53" s="125"/>
      <c r="C53" s="126"/>
    </row>
    <row r="54" spans="1:3" ht="12.75">
      <c r="A54" s="124"/>
      <c r="B54" s="125"/>
      <c r="C54" s="126"/>
    </row>
    <row r="55" spans="1:3" ht="12.75">
      <c r="A55" s="124"/>
      <c r="B55" s="125"/>
      <c r="C55" s="126"/>
    </row>
    <row r="56" spans="1:3" ht="12.75">
      <c r="A56" s="124"/>
      <c r="B56" s="125"/>
      <c r="C56" s="126"/>
    </row>
    <row r="57" spans="1:3" ht="12.75">
      <c r="A57" s="124"/>
      <c r="B57" s="125"/>
      <c r="C57" s="126"/>
    </row>
    <row r="58" spans="1:3" ht="12.75">
      <c r="A58" s="127"/>
      <c r="B58" s="128"/>
      <c r="C58" s="129"/>
    </row>
  </sheetData>
  <mergeCells count="2">
    <mergeCell ref="A48:C48"/>
    <mergeCell ref="A49:C58"/>
  </mergeCells>
  <dataValidations count="10">
    <dataValidation type="list" allowBlank="1" showInputMessage="1" showErrorMessage="1" sqref="B40:B45">
      <formula1>YES_NO</formula1>
    </dataValidation>
    <dataValidation errorStyle="warning" type="list" allowBlank="1" showInputMessage="1" showErrorMessage="1" sqref="B34 B36">
      <formula1>YES_NO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32">
      <formula1>Distance_Piece_Cmprtmnts</formula1>
    </dataValidation>
    <dataValidation errorStyle="warning" type="list" allowBlank="1" showInputMessage="1" showErrorMessage="1" sqref="B35">
      <formula1>Service_Medium_3</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0" r:id="rId3"/>
  <headerFooter alignWithMargins="0">
    <oddFooter>&amp;L&amp;F&amp;C&amp;P of &amp;N&amp;R&amp;A</oddFooter>
  </headerFooter>
  <legacyDrawing r:id="rId2"/>
</worksheet>
</file>

<file path=xl/worksheets/sheet80.xml><?xml version="1.0" encoding="utf-8"?>
<worksheet xmlns="http://schemas.openxmlformats.org/spreadsheetml/2006/main" xmlns:r="http://schemas.openxmlformats.org/officeDocument/2006/relationships">
  <dimension ref="A1:K18"/>
  <sheetViews>
    <sheetView workbookViewId="0" topLeftCell="A1">
      <selection activeCell="B5" sqref="B5"/>
    </sheetView>
  </sheetViews>
  <sheetFormatPr defaultColWidth="9.140625" defaultRowHeight="12.75"/>
  <cols>
    <col min="1" max="1" width="26.7109375" style="0" bestFit="1" customWidth="1"/>
    <col min="2" max="2" width="10.140625" style="0" bestFit="1" customWidth="1"/>
    <col min="3" max="3" width="7.00390625" style="0" bestFit="1" customWidth="1"/>
    <col min="4" max="4" width="8.421875" style="0" customWidth="1"/>
    <col min="5" max="5" width="5.421875" style="0" bestFit="1" customWidth="1"/>
    <col min="6" max="11" width="10.7109375" style="0" bestFit="1" customWidth="1"/>
  </cols>
  <sheetData>
    <row r="1" spans="1:11" s="16" customFormat="1" ht="12.75">
      <c r="A1" s="135" t="s">
        <v>831</v>
      </c>
      <c r="B1" s="136"/>
      <c r="C1" s="137" t="s">
        <v>832</v>
      </c>
      <c r="D1" s="138"/>
      <c r="E1" s="139"/>
      <c r="F1" s="16">
        <f>VLOOKUP("SAP Equipment # (if known)",CA_9530,2,FALSE)</f>
        <v>0</v>
      </c>
      <c r="G1" s="16">
        <f>VLOOKUP("SAP Equipment # (if known)",CA_9530,3,FALSE)</f>
        <v>0</v>
      </c>
      <c r="H1" s="16">
        <f>VLOOKUP("SAP Equipment # (if known)",CA_9530,4,FALSE)</f>
        <v>0</v>
      </c>
      <c r="I1" s="16">
        <f>VLOOKUP("SAP Equipment # (if known)",CA_9530,5,FALSE)</f>
        <v>0</v>
      </c>
      <c r="J1" s="16">
        <f>VLOOKUP("SAP Equipment # (if known)",CA_9530,6,FALSE)</f>
        <v>0</v>
      </c>
      <c r="K1" s="16">
        <f>VLOOKUP("SAP Equipment # (if known)",CA_9530,7,FALSE)</f>
        <v>0</v>
      </c>
    </row>
    <row r="2" spans="1:5" s="16" customFormat="1" ht="12.75">
      <c r="A2" s="137" t="s">
        <v>833</v>
      </c>
      <c r="B2" s="138"/>
      <c r="C2" s="138"/>
      <c r="D2" s="138"/>
      <c r="E2" s="139"/>
    </row>
    <row r="3" spans="1:5" s="16" customFormat="1" ht="25.5">
      <c r="A3" s="17" t="s">
        <v>834</v>
      </c>
      <c r="B3" s="18" t="s">
        <v>835</v>
      </c>
      <c r="C3" s="18" t="s">
        <v>836</v>
      </c>
      <c r="D3" s="18" t="s">
        <v>837</v>
      </c>
      <c r="E3" s="18" t="s">
        <v>838</v>
      </c>
    </row>
    <row r="4" spans="1:11" ht="15.75">
      <c r="A4" s="19" t="s">
        <v>19</v>
      </c>
      <c r="B4" s="20" t="s">
        <v>839</v>
      </c>
      <c r="C4" s="21">
        <v>15</v>
      </c>
      <c r="D4" s="21">
        <v>0</v>
      </c>
      <c r="E4" s="20"/>
      <c r="F4" s="22" t="str">
        <f>VLOOKUP($A4,CA_9530,2,FALSE)</f>
        <v>/</v>
      </c>
      <c r="G4" s="22" t="str">
        <f>VLOOKUP($A4,CA_9530,3,FALSE)</f>
        <v>/</v>
      </c>
      <c r="H4" s="22" t="str">
        <f>VLOOKUP($A4,CA_9530,4,FALSE)</f>
        <v>/</v>
      </c>
      <c r="I4" s="22" t="str">
        <f>VLOOKUP($A4,CA_9530,5,FALSE)</f>
        <v>/</v>
      </c>
      <c r="J4" s="22" t="str">
        <f>VLOOKUP($A4,CA_9530,6,FALSE)</f>
        <v>/</v>
      </c>
      <c r="K4" s="22" t="str">
        <f>VLOOKUP($A4,CA_9530,7,FALSE)</f>
        <v>/</v>
      </c>
    </row>
    <row r="5" spans="1:11" ht="15.75">
      <c r="A5" s="19" t="s">
        <v>420</v>
      </c>
      <c r="B5" s="20" t="s">
        <v>839</v>
      </c>
      <c r="C5" s="21">
        <v>15</v>
      </c>
      <c r="D5" s="21">
        <v>0</v>
      </c>
      <c r="E5" s="20"/>
      <c r="F5" s="22" t="str">
        <f aca="true" t="shared" si="0" ref="F5:F18">VLOOKUP($A5,CA_9530,2,FALSE)</f>
        <v>/</v>
      </c>
      <c r="G5" s="22" t="str">
        <f aca="true" t="shared" si="1" ref="G5:G18">VLOOKUP($A5,CA_9530,3,FALSE)</f>
        <v>/</v>
      </c>
      <c r="H5" s="22" t="str">
        <f aca="true" t="shared" si="2" ref="H5:H18">VLOOKUP($A5,CA_9530,4,FALSE)</f>
        <v>/</v>
      </c>
      <c r="I5" s="22" t="str">
        <f aca="true" t="shared" si="3" ref="I5:I18">VLOOKUP($A5,CA_9530,5,FALSE)</f>
        <v>/</v>
      </c>
      <c r="J5" s="22" t="str">
        <f aca="true" t="shared" si="4" ref="J5:J18">VLOOKUP($A5,CA_9530,6,FALSE)</f>
        <v>/</v>
      </c>
      <c r="K5" s="22" t="str">
        <f aca="true" t="shared" si="5" ref="K5:K18">VLOOKUP($A5,CA_9530,7,FALSE)</f>
        <v>/</v>
      </c>
    </row>
    <row r="6" spans="1:11" ht="15.75">
      <c r="A6" s="19" t="s">
        <v>421</v>
      </c>
      <c r="B6" s="20" t="s">
        <v>839</v>
      </c>
      <c r="C6" s="21">
        <v>15</v>
      </c>
      <c r="D6" s="21">
        <v>0</v>
      </c>
      <c r="E6" s="20"/>
      <c r="F6" s="22" t="str">
        <f t="shared" si="0"/>
        <v>/</v>
      </c>
      <c r="G6" s="22" t="str">
        <f t="shared" si="1"/>
        <v>/</v>
      </c>
      <c r="H6" s="22" t="str">
        <f t="shared" si="2"/>
        <v>/</v>
      </c>
      <c r="I6" s="22" t="str">
        <f t="shared" si="3"/>
        <v>/</v>
      </c>
      <c r="J6" s="22" t="str">
        <f t="shared" si="4"/>
        <v>/</v>
      </c>
      <c r="K6" s="22" t="str">
        <f t="shared" si="5"/>
        <v>/</v>
      </c>
    </row>
    <row r="7" spans="1:11" ht="15.75">
      <c r="A7" s="19" t="s">
        <v>422</v>
      </c>
      <c r="B7" s="20" t="s">
        <v>839</v>
      </c>
      <c r="C7" s="21">
        <v>15</v>
      </c>
      <c r="D7" s="21">
        <v>0</v>
      </c>
      <c r="E7" s="20"/>
      <c r="F7" s="22" t="str">
        <f t="shared" si="0"/>
        <v>/</v>
      </c>
      <c r="G7" s="22" t="str">
        <f t="shared" si="1"/>
        <v>/</v>
      </c>
      <c r="H7" s="22" t="str">
        <f t="shared" si="2"/>
        <v>/</v>
      </c>
      <c r="I7" s="22" t="str">
        <f t="shared" si="3"/>
        <v>/</v>
      </c>
      <c r="J7" s="22" t="str">
        <f t="shared" si="4"/>
        <v>/</v>
      </c>
      <c r="K7" s="22" t="str">
        <f t="shared" si="5"/>
        <v>/</v>
      </c>
    </row>
    <row r="8" spans="1:11" ht="15.75">
      <c r="A8" s="19" t="s">
        <v>492</v>
      </c>
      <c r="B8" s="20" t="s">
        <v>839</v>
      </c>
      <c r="C8" s="21">
        <v>15</v>
      </c>
      <c r="D8" s="21">
        <v>0</v>
      </c>
      <c r="E8" s="20"/>
      <c r="F8" s="22" t="str">
        <f t="shared" si="0"/>
        <v>/</v>
      </c>
      <c r="G8" s="22" t="str">
        <f t="shared" si="1"/>
        <v>/</v>
      </c>
      <c r="H8" s="22" t="str">
        <f t="shared" si="2"/>
        <v>/</v>
      </c>
      <c r="I8" s="22" t="str">
        <f t="shared" si="3"/>
        <v>/</v>
      </c>
      <c r="J8" s="22" t="str">
        <f t="shared" si="4"/>
        <v>/</v>
      </c>
      <c r="K8" s="22" t="str">
        <f t="shared" si="5"/>
        <v>/</v>
      </c>
    </row>
    <row r="9" spans="1:11" ht="15.75">
      <c r="A9" s="19" t="s">
        <v>424</v>
      </c>
      <c r="B9" s="20" t="s">
        <v>839</v>
      </c>
      <c r="C9" s="21">
        <v>15</v>
      </c>
      <c r="D9" s="21">
        <v>0</v>
      </c>
      <c r="E9" s="20"/>
      <c r="F9" s="22" t="str">
        <f t="shared" si="0"/>
        <v>/</v>
      </c>
      <c r="G9" s="22" t="str">
        <f t="shared" si="1"/>
        <v>/</v>
      </c>
      <c r="H9" s="22" t="str">
        <f t="shared" si="2"/>
        <v>/</v>
      </c>
      <c r="I9" s="22" t="str">
        <f t="shared" si="3"/>
        <v>/</v>
      </c>
      <c r="J9" s="22" t="str">
        <f t="shared" si="4"/>
        <v>/</v>
      </c>
      <c r="K9" s="22" t="str">
        <f t="shared" si="5"/>
        <v>/</v>
      </c>
    </row>
    <row r="10" spans="1:11" ht="15.75">
      <c r="A10" s="19" t="s">
        <v>493</v>
      </c>
      <c r="B10" s="20" t="s">
        <v>839</v>
      </c>
      <c r="C10" s="21">
        <v>15</v>
      </c>
      <c r="D10" s="21">
        <v>0</v>
      </c>
      <c r="E10" s="20"/>
      <c r="F10" s="22" t="str">
        <f t="shared" si="0"/>
        <v>/</v>
      </c>
      <c r="G10" s="22" t="str">
        <f t="shared" si="1"/>
        <v>/</v>
      </c>
      <c r="H10" s="22" t="str">
        <f t="shared" si="2"/>
        <v>/</v>
      </c>
      <c r="I10" s="22" t="str">
        <f t="shared" si="3"/>
        <v>/</v>
      </c>
      <c r="J10" s="22" t="str">
        <f t="shared" si="4"/>
        <v>/</v>
      </c>
      <c r="K10" s="22" t="str">
        <f t="shared" si="5"/>
        <v>/</v>
      </c>
    </row>
    <row r="11" spans="1:11" ht="15.75">
      <c r="A11" s="19" t="s">
        <v>426</v>
      </c>
      <c r="B11" s="20" t="s">
        <v>839</v>
      </c>
      <c r="C11" s="21">
        <v>15</v>
      </c>
      <c r="D11" s="21">
        <v>0</v>
      </c>
      <c r="E11" s="20"/>
      <c r="F11" s="22" t="str">
        <f t="shared" si="0"/>
        <v>/</v>
      </c>
      <c r="G11" s="22" t="str">
        <f t="shared" si="1"/>
        <v>/</v>
      </c>
      <c r="H11" s="22" t="str">
        <f t="shared" si="2"/>
        <v>/</v>
      </c>
      <c r="I11" s="22" t="str">
        <f t="shared" si="3"/>
        <v>/</v>
      </c>
      <c r="J11" s="22" t="str">
        <f t="shared" si="4"/>
        <v>/</v>
      </c>
      <c r="K11" s="22" t="str">
        <f t="shared" si="5"/>
        <v>/</v>
      </c>
    </row>
    <row r="12" spans="1:11" ht="15.75">
      <c r="A12" s="19" t="s">
        <v>428</v>
      </c>
      <c r="B12" s="20" t="s">
        <v>839</v>
      </c>
      <c r="C12" s="21">
        <v>15</v>
      </c>
      <c r="D12" s="21">
        <v>0</v>
      </c>
      <c r="E12" s="20"/>
      <c r="F12" s="22" t="str">
        <f t="shared" si="0"/>
        <v>/</v>
      </c>
      <c r="G12" s="22" t="str">
        <f t="shared" si="1"/>
        <v>/</v>
      </c>
      <c r="H12" s="22" t="str">
        <f t="shared" si="2"/>
        <v>/</v>
      </c>
      <c r="I12" s="22" t="str">
        <f t="shared" si="3"/>
        <v>/</v>
      </c>
      <c r="J12" s="22" t="str">
        <f t="shared" si="4"/>
        <v>/</v>
      </c>
      <c r="K12" s="22" t="str">
        <f t="shared" si="5"/>
        <v>/</v>
      </c>
    </row>
    <row r="13" spans="1:11" ht="15.75">
      <c r="A13" s="19" t="s">
        <v>430</v>
      </c>
      <c r="B13" s="20" t="s">
        <v>839</v>
      </c>
      <c r="C13" s="21">
        <v>15</v>
      </c>
      <c r="D13" s="21">
        <v>0</v>
      </c>
      <c r="E13" s="20"/>
      <c r="F13" s="22" t="str">
        <f t="shared" si="0"/>
        <v>/</v>
      </c>
      <c r="G13" s="22" t="str">
        <f t="shared" si="1"/>
        <v>/</v>
      </c>
      <c r="H13" s="22" t="str">
        <f t="shared" si="2"/>
        <v>/</v>
      </c>
      <c r="I13" s="22" t="str">
        <f t="shared" si="3"/>
        <v>/</v>
      </c>
      <c r="J13" s="22" t="str">
        <f t="shared" si="4"/>
        <v>/</v>
      </c>
      <c r="K13" s="22" t="str">
        <f t="shared" si="5"/>
        <v>/</v>
      </c>
    </row>
    <row r="14" spans="1:11" ht="15.75">
      <c r="A14" s="19" t="s">
        <v>495</v>
      </c>
      <c r="B14" s="20" t="s">
        <v>839</v>
      </c>
      <c r="C14" s="21">
        <v>15</v>
      </c>
      <c r="D14" s="21">
        <v>0</v>
      </c>
      <c r="E14" s="20"/>
      <c r="F14" s="22" t="str">
        <f t="shared" si="0"/>
        <v>/</v>
      </c>
      <c r="G14" s="22" t="str">
        <f t="shared" si="1"/>
        <v>/</v>
      </c>
      <c r="H14" s="22" t="str">
        <f t="shared" si="2"/>
        <v>/</v>
      </c>
      <c r="I14" s="22" t="str">
        <f t="shared" si="3"/>
        <v>/</v>
      </c>
      <c r="J14" s="22" t="str">
        <f t="shared" si="4"/>
        <v>/</v>
      </c>
      <c r="K14" s="22" t="str">
        <f t="shared" si="5"/>
        <v>/</v>
      </c>
    </row>
    <row r="15" spans="1:11" ht="15.75">
      <c r="A15" s="19" t="s">
        <v>506</v>
      </c>
      <c r="B15" s="20" t="s">
        <v>839</v>
      </c>
      <c r="C15" s="21">
        <v>15</v>
      </c>
      <c r="D15" s="21">
        <v>0</v>
      </c>
      <c r="E15" s="20"/>
      <c r="F15" s="22" t="str">
        <f t="shared" si="0"/>
        <v>/</v>
      </c>
      <c r="G15" s="22" t="str">
        <f t="shared" si="1"/>
        <v>/</v>
      </c>
      <c r="H15" s="22" t="str">
        <f t="shared" si="2"/>
        <v>/</v>
      </c>
      <c r="I15" s="22" t="str">
        <f t="shared" si="3"/>
        <v>/</v>
      </c>
      <c r="J15" s="22" t="str">
        <f t="shared" si="4"/>
        <v>/</v>
      </c>
      <c r="K15" s="22" t="str">
        <f t="shared" si="5"/>
        <v>/</v>
      </c>
    </row>
    <row r="16" spans="1:11" ht="15.75">
      <c r="A16" s="19" t="s">
        <v>499</v>
      </c>
      <c r="B16" s="20" t="s">
        <v>839</v>
      </c>
      <c r="C16" s="21">
        <v>15</v>
      </c>
      <c r="D16" s="21">
        <v>0</v>
      </c>
      <c r="E16" s="20"/>
      <c r="F16" s="22" t="str">
        <f t="shared" si="0"/>
        <v>/</v>
      </c>
      <c r="G16" s="22" t="str">
        <f t="shared" si="1"/>
        <v>/</v>
      </c>
      <c r="H16" s="22" t="str">
        <f t="shared" si="2"/>
        <v>/</v>
      </c>
      <c r="I16" s="22" t="str">
        <f t="shared" si="3"/>
        <v>/</v>
      </c>
      <c r="J16" s="22" t="str">
        <f t="shared" si="4"/>
        <v>/</v>
      </c>
      <c r="K16" s="22" t="str">
        <f t="shared" si="5"/>
        <v>/</v>
      </c>
    </row>
    <row r="17" spans="1:11" ht="15.75">
      <c r="A17" s="19" t="s">
        <v>119</v>
      </c>
      <c r="B17" s="20" t="s">
        <v>839</v>
      </c>
      <c r="C17" s="21">
        <v>15</v>
      </c>
      <c r="D17" s="21">
        <v>0</v>
      </c>
      <c r="E17" s="20"/>
      <c r="F17" s="22" t="str">
        <f t="shared" si="0"/>
        <v>/</v>
      </c>
      <c r="G17" s="22" t="str">
        <f t="shared" si="1"/>
        <v>/</v>
      </c>
      <c r="H17" s="22" t="str">
        <f t="shared" si="2"/>
        <v>/</v>
      </c>
      <c r="I17" s="22" t="str">
        <f t="shared" si="3"/>
        <v>/</v>
      </c>
      <c r="J17" s="22" t="str">
        <f t="shared" si="4"/>
        <v>/</v>
      </c>
      <c r="K17" s="22" t="str">
        <f t="shared" si="5"/>
        <v>/</v>
      </c>
    </row>
    <row r="18" spans="1:11" ht="15.75">
      <c r="A18" s="19" t="s">
        <v>351</v>
      </c>
      <c r="B18" s="20" t="s">
        <v>839</v>
      </c>
      <c r="C18" s="21">
        <v>15</v>
      </c>
      <c r="D18" s="21">
        <v>0</v>
      </c>
      <c r="E18" s="20"/>
      <c r="F18" s="22" t="str">
        <f t="shared" si="0"/>
        <v>/</v>
      </c>
      <c r="G18" s="22" t="str">
        <f t="shared" si="1"/>
        <v>/</v>
      </c>
      <c r="H18" s="22" t="str">
        <f t="shared" si="2"/>
        <v>/</v>
      </c>
      <c r="I18" s="22" t="str">
        <f t="shared" si="3"/>
        <v>/</v>
      </c>
      <c r="J18" s="22" t="str">
        <f t="shared" si="4"/>
        <v>/</v>
      </c>
      <c r="K18" s="22" t="str">
        <f t="shared" si="5"/>
        <v>/</v>
      </c>
    </row>
  </sheetData>
  <mergeCells count="3">
    <mergeCell ref="A1:B1"/>
    <mergeCell ref="C1:E1"/>
    <mergeCell ref="A2:E2"/>
  </mergeCells>
  <printOptions/>
  <pageMargins left="0.75" right="0.75" top="1" bottom="1" header="0.5" footer="0.5"/>
  <pageSetup orientation="portrait" paperSize="9"/>
</worksheet>
</file>

<file path=xl/worksheets/sheet81.xml><?xml version="1.0" encoding="utf-8"?>
<worksheet xmlns="http://schemas.openxmlformats.org/spreadsheetml/2006/main" xmlns:r="http://schemas.openxmlformats.org/officeDocument/2006/relationships">
  <dimension ref="A1:F15"/>
  <sheetViews>
    <sheetView workbookViewId="0" topLeftCell="A1">
      <selection activeCell="B5" sqref="B5"/>
    </sheetView>
  </sheetViews>
  <sheetFormatPr defaultColWidth="9.140625" defaultRowHeight="12.75"/>
  <cols>
    <col min="1" max="1" width="32.00390625" style="0" bestFit="1" customWidth="1"/>
    <col min="2" max="2" width="10.140625" style="0" bestFit="1" customWidth="1"/>
    <col min="3" max="5" width="8.421875" style="0" customWidth="1"/>
    <col min="6" max="6" width="24.57421875" style="0" customWidth="1"/>
  </cols>
  <sheetData>
    <row r="1" spans="1:6" s="16" customFormat="1" ht="12.75">
      <c r="A1" s="135" t="s">
        <v>831</v>
      </c>
      <c r="B1" s="136"/>
      <c r="C1" s="137" t="s">
        <v>832</v>
      </c>
      <c r="D1" s="138"/>
      <c r="E1" s="139"/>
      <c r="F1" s="16">
        <f>VLOOKUP("SAP Equipment # (if known)",ca_9707,2,FALSE)</f>
        <v>11671798</v>
      </c>
    </row>
    <row r="2" spans="1:5" s="16" customFormat="1" ht="12.75">
      <c r="A2" s="137" t="s">
        <v>833</v>
      </c>
      <c r="B2" s="138"/>
      <c r="C2" s="138"/>
      <c r="D2" s="138"/>
      <c r="E2" s="139"/>
    </row>
    <row r="3" spans="1:5" s="16" customFormat="1" ht="25.5">
      <c r="A3" s="17" t="s">
        <v>834</v>
      </c>
      <c r="B3" s="18" t="s">
        <v>835</v>
      </c>
      <c r="C3" s="18" t="s">
        <v>836</v>
      </c>
      <c r="D3" s="18" t="s">
        <v>837</v>
      </c>
      <c r="E3" s="18" t="s">
        <v>838</v>
      </c>
    </row>
    <row r="4" spans="1:6" ht="15.75">
      <c r="A4" s="19" t="s">
        <v>19</v>
      </c>
      <c r="B4" s="20" t="s">
        <v>839</v>
      </c>
      <c r="C4" s="21">
        <v>15</v>
      </c>
      <c r="D4" s="21">
        <v>0</v>
      </c>
      <c r="E4" s="20"/>
      <c r="F4" s="22" t="str">
        <f aca="true" t="shared" si="0" ref="F4:F15">VLOOKUP(A4,ca_9707,2,FALSE)</f>
        <v>Controllable Asset</v>
      </c>
    </row>
    <row r="5" spans="1:6" ht="15.75">
      <c r="A5" s="19" t="s">
        <v>23</v>
      </c>
      <c r="B5" s="20" t="s">
        <v>839</v>
      </c>
      <c r="C5" s="21">
        <v>15</v>
      </c>
      <c r="D5" s="21">
        <v>0</v>
      </c>
      <c r="E5" s="20"/>
      <c r="F5" s="22" t="str">
        <f t="shared" si="0"/>
        <v>Yes</v>
      </c>
    </row>
    <row r="6" spans="1:6" ht="15.75">
      <c r="A6" s="19" t="s">
        <v>24</v>
      </c>
      <c r="B6" s="20" t="s">
        <v>839</v>
      </c>
      <c r="C6" s="21">
        <v>15</v>
      </c>
      <c r="D6" s="21">
        <v>0</v>
      </c>
      <c r="E6" s="20"/>
      <c r="F6" s="22" t="str">
        <f t="shared" si="0"/>
        <v>Yes</v>
      </c>
    </row>
    <row r="7" spans="1:6" ht="15.75">
      <c r="A7" s="19" t="s">
        <v>25</v>
      </c>
      <c r="B7" s="20" t="s">
        <v>839</v>
      </c>
      <c r="C7" s="21">
        <v>15</v>
      </c>
      <c r="D7" s="21">
        <v>0</v>
      </c>
      <c r="E7" s="20"/>
      <c r="F7" s="22" t="str">
        <f t="shared" si="0"/>
        <v>/</v>
      </c>
    </row>
    <row r="8" spans="1:6" ht="15.75">
      <c r="A8" s="19" t="s">
        <v>114</v>
      </c>
      <c r="B8" s="20" t="s">
        <v>839</v>
      </c>
      <c r="C8" s="21">
        <v>15</v>
      </c>
      <c r="D8" s="21">
        <v>0</v>
      </c>
      <c r="E8" s="20"/>
      <c r="F8" s="22">
        <f t="shared" si="0"/>
        <v>2</v>
      </c>
    </row>
    <row r="9" spans="1:6" ht="15.75">
      <c r="A9" s="19" t="s">
        <v>119</v>
      </c>
      <c r="B9" s="20" t="s">
        <v>839</v>
      </c>
      <c r="C9" s="21">
        <v>15</v>
      </c>
      <c r="D9" s="21">
        <v>0</v>
      </c>
      <c r="E9" s="20"/>
      <c r="F9" s="22" t="str">
        <f t="shared" si="0"/>
        <v>Conoco Phillips 100%</v>
      </c>
    </row>
    <row r="10" spans="1:6" ht="15.75">
      <c r="A10" s="19" t="s">
        <v>26</v>
      </c>
      <c r="B10" s="20" t="s">
        <v>839</v>
      </c>
      <c r="C10" s="21">
        <v>15</v>
      </c>
      <c r="D10" s="21">
        <v>0</v>
      </c>
      <c r="E10" s="20"/>
      <c r="F10" s="22" t="str">
        <f t="shared" si="0"/>
        <v>/</v>
      </c>
    </row>
    <row r="11" spans="1:6" ht="15.75">
      <c r="A11" s="19" t="s">
        <v>128</v>
      </c>
      <c r="B11" s="20" t="s">
        <v>839</v>
      </c>
      <c r="C11" s="21">
        <v>15</v>
      </c>
      <c r="D11" s="21">
        <v>0</v>
      </c>
      <c r="E11" s="20"/>
      <c r="F11" s="22" t="str">
        <f t="shared" si="0"/>
        <v>/</v>
      </c>
    </row>
    <row r="12" spans="1:6" ht="15.75">
      <c r="A12" s="19" t="s">
        <v>133</v>
      </c>
      <c r="B12" s="20" t="s">
        <v>839</v>
      </c>
      <c r="C12" s="21">
        <v>15</v>
      </c>
      <c r="D12" s="21">
        <v>0</v>
      </c>
      <c r="E12" s="20"/>
      <c r="F12" s="22" t="str">
        <f t="shared" si="0"/>
        <v>/</v>
      </c>
    </row>
    <row r="13" spans="1:6" ht="15.75">
      <c r="A13" s="19" t="s">
        <v>20</v>
      </c>
      <c r="B13" s="20" t="s">
        <v>839</v>
      </c>
      <c r="C13" s="21">
        <v>15</v>
      </c>
      <c r="D13" s="21">
        <v>0</v>
      </c>
      <c r="E13" s="20"/>
      <c r="F13" s="22" t="str">
        <f t="shared" si="0"/>
        <v>PERMANENT</v>
      </c>
    </row>
    <row r="14" spans="1:6" ht="15.75">
      <c r="A14" s="19" t="s">
        <v>21</v>
      </c>
      <c r="B14" s="20" t="s">
        <v>839</v>
      </c>
      <c r="C14" s="21">
        <v>15</v>
      </c>
      <c r="D14" s="21">
        <v>0</v>
      </c>
      <c r="E14" s="20"/>
      <c r="F14" s="22" t="str">
        <f t="shared" si="0"/>
        <v>ENGINE</v>
      </c>
    </row>
    <row r="15" spans="1:6" ht="15.75">
      <c r="A15" s="19" t="s">
        <v>22</v>
      </c>
      <c r="B15" s="20" t="s">
        <v>839</v>
      </c>
      <c r="C15" s="21">
        <v>15</v>
      </c>
      <c r="D15" s="21">
        <v>0</v>
      </c>
      <c r="E15" s="20"/>
      <c r="F15" s="22" t="str">
        <f t="shared" si="0"/>
        <v>/</v>
      </c>
    </row>
  </sheetData>
  <mergeCells count="3">
    <mergeCell ref="A1:B1"/>
    <mergeCell ref="C1:E1"/>
    <mergeCell ref="A2:E2"/>
  </mergeCells>
  <printOptions/>
  <pageMargins left="0.75" right="0.75" top="1" bottom="1" header="0.5" footer="0.5"/>
  <pageSetup orientation="portrait" paperSize="9"/>
</worksheet>
</file>

<file path=xl/worksheets/sheet82.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3.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4.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5.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6.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7.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8.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89.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E5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36.00390625" style="1" bestFit="1" customWidth="1"/>
    <col min="2" max="2" width="36.140625" style="75" customWidth="1"/>
    <col min="3" max="3" width="34.57421875" style="1" bestFit="1" customWidth="1"/>
    <col min="5" max="5" width="22.421875" style="0" bestFit="1" customWidth="1"/>
  </cols>
  <sheetData>
    <row r="1" spans="1:5" ht="12.75">
      <c r="A1" s="71" t="s">
        <v>0</v>
      </c>
      <c r="B1" s="71" t="s">
        <v>1</v>
      </c>
      <c r="C1" s="71" t="s">
        <v>2</v>
      </c>
      <c r="E1" s="70" t="s">
        <v>1302</v>
      </c>
    </row>
    <row r="2" spans="1:5" ht="12.75">
      <c r="A2" s="72" t="s">
        <v>3</v>
      </c>
      <c r="B2" s="3"/>
      <c r="C2" s="72"/>
      <c r="E2" s="84" t="s">
        <v>1304</v>
      </c>
    </row>
    <row r="3" spans="1:3" ht="12.75">
      <c r="A3" s="72" t="s">
        <v>4</v>
      </c>
      <c r="B3" s="4" t="s">
        <v>142</v>
      </c>
      <c r="C3" s="23"/>
    </row>
    <row r="4" spans="1:5" ht="12.75">
      <c r="A4" s="72" t="s">
        <v>6</v>
      </c>
      <c r="B4" s="4"/>
      <c r="C4" s="72"/>
      <c r="E4" s="92" t="s">
        <v>1307</v>
      </c>
    </row>
    <row r="5" spans="1:3" ht="12.75">
      <c r="A5" s="72" t="s">
        <v>7</v>
      </c>
      <c r="B5" s="4" t="str">
        <f>+'9707 Compressor Pkg'!B5</f>
        <v>CAD_Peco</v>
      </c>
      <c r="C5" s="23" t="s">
        <v>510</v>
      </c>
    </row>
    <row r="6" spans="1:3" ht="12.75">
      <c r="A6" s="72" t="s">
        <v>509</v>
      </c>
      <c r="B6" s="4" t="str">
        <f>+'9707 Compressor Pkg'!B6</f>
        <v>PECO_Peco</v>
      </c>
      <c r="C6" s="23" t="s">
        <v>510</v>
      </c>
    </row>
    <row r="7" spans="1:3" ht="12.75">
      <c r="A7" s="72" t="s">
        <v>8</v>
      </c>
      <c r="B7" s="4" t="str">
        <f>+'9707 Compressor Pkg'!B7</f>
        <v>CMP_Compressor Station </v>
      </c>
      <c r="C7" s="23" t="s">
        <v>510</v>
      </c>
    </row>
    <row r="8" spans="1:3" ht="12.75">
      <c r="A8" s="72" t="s">
        <v>9</v>
      </c>
      <c r="B8" s="4">
        <f>+'9707 Compressor Pkg'!B8</f>
        <v>0</v>
      </c>
      <c r="C8" s="72"/>
    </row>
    <row r="9" spans="1:3" ht="12.75">
      <c r="A9" s="72" t="s">
        <v>10</v>
      </c>
      <c r="B9" s="4" t="str">
        <f>+'9707 Compressor Pkg'!B9</f>
        <v>100/06-21-048-16W5/00</v>
      </c>
      <c r="C9" s="72"/>
    </row>
    <row r="10" spans="1:3" ht="12.75">
      <c r="A10" s="72" t="s">
        <v>11</v>
      </c>
      <c r="B10" s="4" t="str">
        <f>+'9707 Compressor Pkg'!B10</f>
        <v>CMP1_Compression</v>
      </c>
      <c r="C10" s="23" t="s">
        <v>510</v>
      </c>
    </row>
    <row r="11" spans="1:3" ht="12.75">
      <c r="A11" s="72" t="s">
        <v>12</v>
      </c>
      <c r="B11" s="2" t="str">
        <f>+'9707 Compressor Pkg'!B11</f>
        <v>VCCF008230</v>
      </c>
      <c r="C11" s="72"/>
    </row>
    <row r="12" spans="1:3" ht="12.75">
      <c r="A12" s="72" t="s">
        <v>13</v>
      </c>
      <c r="B12" s="3"/>
      <c r="C12" s="72"/>
    </row>
    <row r="13" spans="1:3" ht="12.75">
      <c r="A13" s="72" t="s">
        <v>491</v>
      </c>
      <c r="B13" s="4" t="str">
        <f>+'9707 Compressor Pkg'!B13</f>
        <v>INAC-Suspended, Shut-in</v>
      </c>
      <c r="C13" s="23" t="s">
        <v>510</v>
      </c>
    </row>
    <row r="14" spans="1:3" ht="12.75">
      <c r="A14" s="72" t="s">
        <v>14</v>
      </c>
      <c r="B14" s="2" t="s">
        <v>879</v>
      </c>
      <c r="C14" s="72"/>
    </row>
    <row r="15" spans="1:3" ht="12.75">
      <c r="A15" s="72" t="s">
        <v>15</v>
      </c>
      <c r="B15" s="2" t="s">
        <v>879</v>
      </c>
      <c r="C15" s="72"/>
    </row>
    <row r="16" spans="1:3" ht="12.75">
      <c r="A16" s="72" t="s">
        <v>16</v>
      </c>
      <c r="B16" s="73" t="s">
        <v>879</v>
      </c>
      <c r="C16" s="72"/>
    </row>
    <row r="17" spans="1:3" ht="12.75">
      <c r="A17" s="72" t="s">
        <v>17</v>
      </c>
      <c r="B17" s="74" t="s">
        <v>879</v>
      </c>
      <c r="C17" s="72"/>
    </row>
    <row r="18" spans="1:3" ht="12.75">
      <c r="A18" s="72" t="s">
        <v>88</v>
      </c>
      <c r="B18" s="73" t="s">
        <v>879</v>
      </c>
      <c r="C18" s="72"/>
    </row>
    <row r="19" spans="1:3" ht="12.75">
      <c r="A19" s="72" t="s">
        <v>93</v>
      </c>
      <c r="B19" s="73" t="s">
        <v>879</v>
      </c>
      <c r="C19" s="72"/>
    </row>
    <row r="20" spans="1:3" ht="12.75">
      <c r="A20" s="5" t="s">
        <v>19</v>
      </c>
      <c r="B20" s="87" t="s">
        <v>879</v>
      </c>
      <c r="C20" s="23" t="s">
        <v>510</v>
      </c>
    </row>
    <row r="21" spans="1:3" ht="12.75">
      <c r="A21" s="5" t="s">
        <v>374</v>
      </c>
      <c r="B21" s="87" t="s">
        <v>879</v>
      </c>
      <c r="C21" s="23" t="s">
        <v>375</v>
      </c>
    </row>
    <row r="22" spans="1:3" ht="12.75">
      <c r="A22" s="5" t="s">
        <v>119</v>
      </c>
      <c r="B22" s="87" t="s">
        <v>879</v>
      </c>
      <c r="C22" s="23"/>
    </row>
    <row r="23" spans="1:3" ht="12.75">
      <c r="A23" s="5" t="s">
        <v>376</v>
      </c>
      <c r="B23" s="87" t="s">
        <v>879</v>
      </c>
      <c r="C23" s="23"/>
    </row>
    <row r="24" spans="1:3" ht="12.75">
      <c r="A24" s="5" t="s">
        <v>377</v>
      </c>
      <c r="B24" s="87" t="s">
        <v>879</v>
      </c>
      <c r="C24" s="23"/>
    </row>
    <row r="25" spans="1:3" ht="12.75">
      <c r="A25" s="5" t="s">
        <v>378</v>
      </c>
      <c r="B25" s="87" t="s">
        <v>879</v>
      </c>
      <c r="C25" s="23"/>
    </row>
    <row r="26" spans="1:3" ht="12.75">
      <c r="A26" s="5" t="s">
        <v>379</v>
      </c>
      <c r="B26" s="87" t="s">
        <v>879</v>
      </c>
      <c r="C26" s="23"/>
    </row>
    <row r="27" spans="1:3" ht="12.75">
      <c r="A27" s="5" t="s">
        <v>380</v>
      </c>
      <c r="B27" s="87" t="s">
        <v>879</v>
      </c>
      <c r="C27" s="23"/>
    </row>
    <row r="28" spans="1:3" ht="12.75">
      <c r="A28" s="5" t="s">
        <v>372</v>
      </c>
      <c r="B28" s="87" t="s">
        <v>879</v>
      </c>
      <c r="C28" s="23" t="s">
        <v>510</v>
      </c>
    </row>
    <row r="29" spans="1:3" ht="12.75">
      <c r="A29" s="5" t="s">
        <v>373</v>
      </c>
      <c r="B29" s="87" t="s">
        <v>879</v>
      </c>
      <c r="C29" s="23" t="s">
        <v>510</v>
      </c>
    </row>
    <row r="30" spans="1:3" ht="12.75">
      <c r="A30" s="5" t="s">
        <v>358</v>
      </c>
      <c r="B30" s="87" t="s">
        <v>879</v>
      </c>
      <c r="C30" s="23" t="s">
        <v>510</v>
      </c>
    </row>
    <row r="31" spans="1:3" ht="12.75">
      <c r="A31" s="5" t="s">
        <v>353</v>
      </c>
      <c r="B31" s="87" t="s">
        <v>879</v>
      </c>
      <c r="C31" s="23"/>
    </row>
    <row r="32" spans="1:3" ht="12.75">
      <c r="A32" s="5" t="s">
        <v>354</v>
      </c>
      <c r="B32" s="87" t="s">
        <v>879</v>
      </c>
      <c r="C32" s="23" t="s">
        <v>355</v>
      </c>
    </row>
    <row r="34" spans="1:3" ht="25.5">
      <c r="A34" s="76" t="s">
        <v>1252</v>
      </c>
      <c r="B34" s="74"/>
      <c r="C34" s="23" t="s">
        <v>510</v>
      </c>
    </row>
    <row r="35" spans="1:3" ht="25.5">
      <c r="A35" s="76" t="s">
        <v>1253</v>
      </c>
      <c r="B35" s="74"/>
      <c r="C35" s="23" t="s">
        <v>510</v>
      </c>
    </row>
    <row r="36" spans="1:3" ht="12.75">
      <c r="A36" s="76" t="s">
        <v>1254</v>
      </c>
      <c r="B36" s="74"/>
      <c r="C36" s="23" t="s">
        <v>510</v>
      </c>
    </row>
    <row r="37" spans="1:3" ht="38.25">
      <c r="A37" s="76" t="s">
        <v>1255</v>
      </c>
      <c r="B37" s="74"/>
      <c r="C37" s="23" t="s">
        <v>510</v>
      </c>
    </row>
    <row r="38" spans="1:3" ht="51">
      <c r="A38" s="76" t="s">
        <v>1256</v>
      </c>
      <c r="B38" s="74"/>
      <c r="C38" s="23" t="s">
        <v>510</v>
      </c>
    </row>
    <row r="39" spans="1:3" ht="51">
      <c r="A39" s="76" t="s">
        <v>1257</v>
      </c>
      <c r="B39" s="74"/>
      <c r="C39" s="23" t="s">
        <v>510</v>
      </c>
    </row>
    <row r="40" spans="1:3" ht="25.5">
      <c r="A40" s="76" t="s">
        <v>1258</v>
      </c>
      <c r="B40" s="74"/>
      <c r="C40" s="23"/>
    </row>
    <row r="42" spans="1:3" ht="12.75">
      <c r="A42" s="120" t="s">
        <v>154</v>
      </c>
      <c r="B42" s="120"/>
      <c r="C42" s="120"/>
    </row>
    <row r="43" spans="1:3" ht="12.75">
      <c r="A43" s="121"/>
      <c r="B43" s="122"/>
      <c r="C43" s="123"/>
    </row>
    <row r="44" spans="1:3" ht="12.75">
      <c r="A44" s="124"/>
      <c r="B44" s="125"/>
      <c r="C44" s="126"/>
    </row>
    <row r="45" spans="1:3" ht="12.75">
      <c r="A45" s="124"/>
      <c r="B45" s="125"/>
      <c r="C45" s="126"/>
    </row>
    <row r="46" spans="1:3" ht="12.75">
      <c r="A46" s="124"/>
      <c r="B46" s="125"/>
      <c r="C46" s="126"/>
    </row>
    <row r="47" spans="1:3" ht="12.75">
      <c r="A47" s="124"/>
      <c r="B47" s="125"/>
      <c r="C47" s="126"/>
    </row>
    <row r="48" spans="1:3" ht="12.75">
      <c r="A48" s="124"/>
      <c r="B48" s="125"/>
      <c r="C48" s="126"/>
    </row>
    <row r="49" spans="1:3" ht="12.75">
      <c r="A49" s="124"/>
      <c r="B49" s="125"/>
      <c r="C49" s="126"/>
    </row>
    <row r="50" spans="1:3" ht="12.75">
      <c r="A50" s="124"/>
      <c r="B50" s="125"/>
      <c r="C50" s="126"/>
    </row>
    <row r="51" spans="1:3" ht="12.75">
      <c r="A51" s="124"/>
      <c r="B51" s="125"/>
      <c r="C51" s="126"/>
    </row>
    <row r="52" spans="1:3" ht="12.75">
      <c r="A52" s="127"/>
      <c r="B52" s="128"/>
      <c r="C52" s="129"/>
    </row>
  </sheetData>
  <mergeCells count="2">
    <mergeCell ref="A42:C42"/>
    <mergeCell ref="A43:C52"/>
  </mergeCells>
  <dataValidations count="10">
    <dataValidation type="list" allowBlank="1" showInputMessage="1" showErrorMessage="1" sqref="B34:B39">
      <formula1>YES_NO</formula1>
    </dataValidation>
    <dataValidation errorStyle="warning" type="list" allowBlank="1" showInputMessage="1" showErrorMessage="1" sqref="B29">
      <formula1>YES_NO</formula1>
    </dataValidation>
    <dataValidation errorStyle="warning" type="list" allowBlank="1" showInputMessage="1" showErrorMessage="1" sqref="B30">
      <formula1>Service_Medium_3</formula1>
    </dataValidation>
    <dataValidation errorStyle="warning" type="list" allowBlank="1" showInputMessage="1" showErrorMessage="1" sqref="B28">
      <formula1>Internal_Volume_Ratio</formula1>
    </dataValidation>
    <dataValidation errorStyle="warning" type="list" allowBlank="1" showInputMessage="1" showErrorMessage="1" sqref="B20">
      <formula1>Controllable_Asset_Indicator</formula1>
    </dataValidation>
    <dataValidation errorStyle="warning" type="list" allowBlank="1" showInputMessage="1" showErrorMessage="1" sqref="B13">
      <formula1>STATUS</formula1>
    </dataValidation>
    <dataValidation errorStyle="warning" type="list" allowBlank="1" showInputMessage="1" showErrorMessage="1" sqref="B10">
      <formula1>Process</formula1>
    </dataValidation>
    <dataValidation errorStyle="warning" type="list" allowBlank="1" showInputMessage="1" showErrorMessage="1" sqref="B7">
      <formula1>Type_of_Facility</formula1>
    </dataValidation>
    <dataValidation errorStyle="warning" type="list" allowBlank="1" showInputMessage="1" showErrorMessage="1" sqref="B6">
      <formula1>Area_Level_3</formula1>
    </dataValidation>
    <dataValidation errorStyle="warning" type="list" allowBlank="1" showInputMessage="1" showErrorMessage="1" sqref="B5">
      <formula1>Maintenance_Plant</formula1>
    </dataValidation>
  </dataValidations>
  <hyperlinks>
    <hyperlink ref="E4" location="ca_9707" display="Home Pkg Page"/>
  </hyperlinks>
  <printOptions horizontalCentered="1"/>
  <pageMargins left="0.75" right="0.75" top="0.5" bottom="1" header="0.25" footer="0.5"/>
  <pageSetup fitToHeight="1" fitToWidth="1" horizontalDpi="600" verticalDpi="600" orientation="portrait" scale="85" r:id="rId3"/>
  <headerFooter alignWithMargins="0">
    <oddFooter>&amp;L&amp;F&amp;C&amp;P of &amp;N&amp;R&amp;A</oddFooter>
  </headerFooter>
  <legacyDrawing r:id="rId2"/>
</worksheet>
</file>

<file path=xl/worksheets/sheet90.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xl/worksheets/sheet91.xml><?xml version="1.0" encoding="utf-8"?>
<worksheet xmlns="http://schemas.openxmlformats.org/spreadsheetml/2006/main" xmlns:r="http://schemas.openxmlformats.org/officeDocument/2006/relationships">
  <dimension ref="A1:A1"/>
  <sheetViews>
    <sheetView workbookViewId="0" topLeftCell="A1">
      <selection activeCell="B5" sqref="B5"/>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ConocoPhillips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alstaaj</dc:creator>
  <cp:keywords/>
  <dc:description/>
  <cp:lastModifiedBy>alstaaj</cp:lastModifiedBy>
  <cp:lastPrinted>2010-05-20T21:08:08Z</cp:lastPrinted>
  <dcterms:created xsi:type="dcterms:W3CDTF">2010-02-10T18:44:40Z</dcterms:created>
  <dcterms:modified xsi:type="dcterms:W3CDTF">2012-08-22T20:02:38Z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